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drawings/drawing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olors11.xml" ContentType="application/vnd.ms-office.chartcolorstyle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ilskudsprojekter\Seges\Tilskudsprojekter\2020\160_Planteinnovation\7856_PAF_Nul_pesticidrester_i_planteprodukter_cars\02_Leverancer\Klar til net\"/>
    </mc:Choice>
  </mc:AlternateContent>
  <xr:revisionPtr revIDLastSave="0" documentId="8_{AC199EC3-E81C-488B-8228-8282D12B417F}" xr6:coauthVersionLast="45" xr6:coauthVersionMax="45" xr10:uidLastSave="{00000000-0000-0000-0000-000000000000}"/>
  <bookViews>
    <workbookView xWindow="-120" yWindow="-120" windowWidth="29040" windowHeight="15840" tabRatio="743" xr2:uid="{00000000-000D-0000-FFFF-FFFF00000000}"/>
  </bookViews>
  <sheets>
    <sheet name="Simulering" sheetId="10" r:id="rId1"/>
    <sheet name="Kalkuler budgetkalkule" sheetId="11" r:id="rId2"/>
    <sheet name="Kalkule brødhvede" sheetId="6" r:id="rId3"/>
    <sheet name="Kalkule brødrug" sheetId="7" r:id="rId4"/>
    <sheet name="Kalkule maltbyg" sheetId="8" r:id="rId5"/>
    <sheet name="Kalkule grynhavre" sheetId="9" r:id="rId6"/>
  </sheets>
  <definedNames>
    <definedName name="_xlnm.Print_Area" localSheetId="0">Simulering!$A$1:$R$130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0" l="1"/>
  <c r="T79" i="10"/>
  <c r="S79" i="10"/>
  <c r="J8" i="10"/>
  <c r="D8" i="10"/>
  <c r="R79" i="10"/>
  <c r="Q79" i="10"/>
  <c r="T65" i="10"/>
  <c r="S65" i="10"/>
  <c r="K10" i="10"/>
  <c r="E10" i="10"/>
  <c r="L10" i="10"/>
  <c r="F10" i="10" s="1"/>
  <c r="M10" i="10"/>
  <c r="G10" i="10"/>
  <c r="N10" i="10"/>
  <c r="H10" i="10" s="1"/>
  <c r="I10" i="10"/>
  <c r="C10" i="10"/>
  <c r="C14" i="10"/>
  <c r="C19" i="10" s="1"/>
  <c r="D14" i="10"/>
  <c r="D19" i="10"/>
  <c r="E14" i="10"/>
  <c r="E16" i="10" s="1"/>
  <c r="F14" i="10"/>
  <c r="F19" i="10" s="1"/>
  <c r="G14" i="10"/>
  <c r="G19" i="10" s="1"/>
  <c r="I14" i="10"/>
  <c r="I19" i="10"/>
  <c r="J14" i="10"/>
  <c r="J15" i="10" s="1"/>
  <c r="K14" i="10"/>
  <c r="K15" i="10" s="1"/>
  <c r="L14" i="10"/>
  <c r="L19" i="10" s="1"/>
  <c r="M14" i="10"/>
  <c r="M19" i="10"/>
  <c r="D50" i="10"/>
  <c r="D57" i="10"/>
  <c r="D58" i="10"/>
  <c r="K8" i="10"/>
  <c r="E8" i="10"/>
  <c r="E50" i="10"/>
  <c r="E57" i="10"/>
  <c r="E58" i="10"/>
  <c r="L8" i="10"/>
  <c r="F8" i="10" s="1"/>
  <c r="F49" i="10"/>
  <c r="F50" i="10"/>
  <c r="F57" i="10"/>
  <c r="F58" i="10"/>
  <c r="M8" i="10"/>
  <c r="G49" i="10"/>
  <c r="G50" i="10"/>
  <c r="G57" i="10"/>
  <c r="G58" i="10"/>
  <c r="N8" i="10"/>
  <c r="H8" i="10" s="1"/>
  <c r="H49" i="10"/>
  <c r="H50" i="10"/>
  <c r="H57" i="10"/>
  <c r="H58" i="10"/>
  <c r="I8" i="10"/>
  <c r="C8" i="10" s="1"/>
  <c r="I49" i="10"/>
  <c r="E17" i="11" s="1"/>
  <c r="I50" i="10"/>
  <c r="I57" i="10"/>
  <c r="E26" i="11" s="1"/>
  <c r="E33" i="11" s="1"/>
  <c r="I58" i="10"/>
  <c r="J49" i="10"/>
  <c r="J50" i="10"/>
  <c r="J57" i="10"/>
  <c r="J58" i="10"/>
  <c r="K50" i="10"/>
  <c r="K57" i="10"/>
  <c r="K58" i="10"/>
  <c r="L49" i="10"/>
  <c r="L50" i="10"/>
  <c r="L57" i="10"/>
  <c r="J26" i="11"/>
  <c r="L58" i="10"/>
  <c r="M49" i="10"/>
  <c r="O17" i="11"/>
  <c r="M50" i="10"/>
  <c r="M57" i="10"/>
  <c r="O26" i="11"/>
  <c r="O33" i="11" s="1"/>
  <c r="M58" i="10"/>
  <c r="N49" i="10"/>
  <c r="T17" i="11" s="1"/>
  <c r="T19" i="11" s="1"/>
  <c r="N50" i="10"/>
  <c r="N57" i="10"/>
  <c r="T26" i="11" s="1"/>
  <c r="N58" i="10"/>
  <c r="J9" i="10"/>
  <c r="D29" i="10"/>
  <c r="D30" i="10"/>
  <c r="D31" i="10"/>
  <c r="D59" i="10"/>
  <c r="K9" i="10"/>
  <c r="E9" i="10" s="1"/>
  <c r="E29" i="10"/>
  <c r="E30" i="10"/>
  <c r="E31" i="10"/>
  <c r="E59" i="10"/>
  <c r="L9" i="10"/>
  <c r="F9" i="10"/>
  <c r="F29" i="10"/>
  <c r="F51" i="10" s="1"/>
  <c r="F59" i="10"/>
  <c r="M9" i="10"/>
  <c r="M86" i="10" s="1"/>
  <c r="G29" i="10"/>
  <c r="G30" i="10"/>
  <c r="G31" i="10"/>
  <c r="G59" i="10"/>
  <c r="N9" i="10"/>
  <c r="H31" i="10"/>
  <c r="H51" i="10" s="1"/>
  <c r="H59" i="10"/>
  <c r="I9" i="10"/>
  <c r="C9" i="10"/>
  <c r="I29" i="10"/>
  <c r="I30" i="10"/>
  <c r="I31" i="10"/>
  <c r="I59" i="10"/>
  <c r="J29" i="10"/>
  <c r="J51" i="10" s="1"/>
  <c r="J30" i="10"/>
  <c r="J31" i="10"/>
  <c r="J59" i="10"/>
  <c r="K29" i="10"/>
  <c r="K30" i="10"/>
  <c r="K31" i="10"/>
  <c r="K59" i="10"/>
  <c r="L29" i="10"/>
  <c r="L51" i="10" s="1"/>
  <c r="L59" i="10"/>
  <c r="M29" i="10"/>
  <c r="M30" i="10"/>
  <c r="M31" i="10"/>
  <c r="M59" i="10"/>
  <c r="N31" i="10"/>
  <c r="N51" i="10"/>
  <c r="N59" i="10"/>
  <c r="D32" i="10"/>
  <c r="D33" i="10"/>
  <c r="D34" i="10"/>
  <c r="D52" i="10" s="1"/>
  <c r="D60" i="10"/>
  <c r="E32" i="10"/>
  <c r="E33" i="10"/>
  <c r="E34" i="10"/>
  <c r="E52" i="10" s="1"/>
  <c r="E60" i="10"/>
  <c r="F35" i="10"/>
  <c r="F52" i="10" s="1"/>
  <c r="F60" i="10"/>
  <c r="G35" i="10"/>
  <c r="G36" i="10"/>
  <c r="G60" i="10"/>
  <c r="H33" i="10"/>
  <c r="H52" i="10" s="1"/>
  <c r="H60" i="10"/>
  <c r="I32" i="10"/>
  <c r="I33" i="10"/>
  <c r="I34" i="10"/>
  <c r="I60" i="10"/>
  <c r="J32" i="10"/>
  <c r="J33" i="10"/>
  <c r="J52" i="10" s="1"/>
  <c r="J34" i="10"/>
  <c r="J60" i="10"/>
  <c r="K32" i="10"/>
  <c r="K33" i="10"/>
  <c r="K34" i="10"/>
  <c r="K60" i="10"/>
  <c r="L35" i="10"/>
  <c r="L52" i="10"/>
  <c r="L60" i="10"/>
  <c r="M35" i="10"/>
  <c r="M36" i="10"/>
  <c r="M60" i="10"/>
  <c r="N33" i="10"/>
  <c r="N52" i="10" s="1"/>
  <c r="N60" i="10"/>
  <c r="J11" i="10"/>
  <c r="D11" i="10" s="1"/>
  <c r="D37" i="10"/>
  <c r="D38" i="10"/>
  <c r="D39" i="10"/>
  <c r="D61" i="10"/>
  <c r="K11" i="10"/>
  <c r="E11" i="10" s="1"/>
  <c r="E37" i="10"/>
  <c r="E53" i="10" s="1"/>
  <c r="E38" i="10"/>
  <c r="E39" i="10"/>
  <c r="E61" i="10"/>
  <c r="L11" i="10"/>
  <c r="F40" i="10"/>
  <c r="F53" i="10" s="1"/>
  <c r="F61" i="10"/>
  <c r="M11" i="10"/>
  <c r="G11" i="10"/>
  <c r="G40" i="10"/>
  <c r="G41" i="10"/>
  <c r="G61" i="10"/>
  <c r="N11" i="10"/>
  <c r="H38" i="10"/>
  <c r="H53" i="10"/>
  <c r="H86" i="10" s="1"/>
  <c r="H61" i="10"/>
  <c r="I11" i="10"/>
  <c r="I37" i="10"/>
  <c r="I38" i="10"/>
  <c r="I39" i="10"/>
  <c r="I61" i="10"/>
  <c r="J37" i="10"/>
  <c r="J38" i="10"/>
  <c r="J39" i="10"/>
  <c r="J61" i="10"/>
  <c r="K37" i="10"/>
  <c r="K38" i="10"/>
  <c r="K39" i="10"/>
  <c r="K61" i="10"/>
  <c r="L40" i="10"/>
  <c r="L53" i="10"/>
  <c r="L61" i="10"/>
  <c r="M40" i="10"/>
  <c r="M41" i="10"/>
  <c r="M61" i="10"/>
  <c r="N38" i="10"/>
  <c r="N53" i="10" s="1"/>
  <c r="N61" i="10"/>
  <c r="J12" i="10"/>
  <c r="D12" i="10" s="1"/>
  <c r="D42" i="10"/>
  <c r="D43" i="10"/>
  <c r="D44" i="10"/>
  <c r="D54" i="10" s="1"/>
  <c r="D62" i="10"/>
  <c r="K12" i="10"/>
  <c r="E12" i="10" s="1"/>
  <c r="E42" i="10"/>
  <c r="E54" i="10" s="1"/>
  <c r="E43" i="10"/>
  <c r="E44" i="10"/>
  <c r="E62" i="10"/>
  <c r="L12" i="10"/>
  <c r="F12" i="10" s="1"/>
  <c r="F44" i="10"/>
  <c r="F45" i="10"/>
  <c r="F62" i="10"/>
  <c r="M12" i="10"/>
  <c r="G44" i="10"/>
  <c r="G45" i="10"/>
  <c r="G46" i="10"/>
  <c r="G47" i="10"/>
  <c r="G62" i="10"/>
  <c r="N12" i="10"/>
  <c r="H12" i="10"/>
  <c r="H44" i="10"/>
  <c r="H45" i="10"/>
  <c r="H46" i="10"/>
  <c r="H62" i="10"/>
  <c r="I12" i="10"/>
  <c r="C12" i="10" s="1"/>
  <c r="I42" i="10"/>
  <c r="I43" i="10"/>
  <c r="I54" i="10" s="1"/>
  <c r="I87" i="10" s="1"/>
  <c r="I44" i="10"/>
  <c r="I62" i="10"/>
  <c r="J42" i="10"/>
  <c r="J43" i="10"/>
  <c r="J44" i="10"/>
  <c r="J62" i="10"/>
  <c r="K42" i="10"/>
  <c r="K43" i="10"/>
  <c r="K54" i="10" s="1"/>
  <c r="K44" i="10"/>
  <c r="K62" i="10"/>
  <c r="L44" i="10"/>
  <c r="L45" i="10"/>
  <c r="L62" i="10"/>
  <c r="M44" i="10"/>
  <c r="M45" i="10"/>
  <c r="M46" i="10"/>
  <c r="M54" i="10" s="1"/>
  <c r="M47" i="10"/>
  <c r="M62" i="10"/>
  <c r="N44" i="10"/>
  <c r="N45" i="10"/>
  <c r="N54" i="10" s="1"/>
  <c r="N46" i="10"/>
  <c r="N62" i="10"/>
  <c r="C49" i="10"/>
  <c r="C50" i="10"/>
  <c r="C57" i="10"/>
  <c r="C58" i="10"/>
  <c r="J15" i="11"/>
  <c r="J14" i="11"/>
  <c r="J13" i="11"/>
  <c r="J12" i="11"/>
  <c r="G7" i="11"/>
  <c r="J17" i="11"/>
  <c r="J19" i="11" s="1"/>
  <c r="C42" i="10"/>
  <c r="C43" i="10"/>
  <c r="C44" i="10"/>
  <c r="C62" i="10"/>
  <c r="C37" i="10"/>
  <c r="C38" i="10"/>
  <c r="C39" i="10"/>
  <c r="C61" i="10"/>
  <c r="C32" i="10"/>
  <c r="C33" i="10"/>
  <c r="C34" i="10"/>
  <c r="C60" i="10"/>
  <c r="C29" i="10"/>
  <c r="C30" i="10"/>
  <c r="C31" i="10"/>
  <c r="C59" i="10"/>
  <c r="C85" i="10" s="1"/>
  <c r="L13" i="7"/>
  <c r="L14" i="7"/>
  <c r="L18" i="7"/>
  <c r="L19" i="7"/>
  <c r="L20" i="7"/>
  <c r="L21" i="7"/>
  <c r="L30" i="7"/>
  <c r="L31" i="7"/>
  <c r="L43" i="7" s="1"/>
  <c r="F22" i="10" s="1"/>
  <c r="L32" i="7"/>
  <c r="L33" i="7"/>
  <c r="L34" i="7"/>
  <c r="L35" i="7"/>
  <c r="L36" i="7"/>
  <c r="L37" i="7"/>
  <c r="L38" i="7"/>
  <c r="S13" i="7"/>
  <c r="S15" i="7" s="1"/>
  <c r="S27" i="7" s="1"/>
  <c r="S41" i="7" s="1"/>
  <c r="S14" i="7"/>
  <c r="S18" i="7"/>
  <c r="S19" i="7"/>
  <c r="S20" i="7"/>
  <c r="S21" i="7"/>
  <c r="S30" i="7"/>
  <c r="S31" i="7"/>
  <c r="S32" i="7"/>
  <c r="S40" i="7" s="1"/>
  <c r="L22" i="10" s="1"/>
  <c r="S33" i="7"/>
  <c r="S34" i="7"/>
  <c r="S35" i="7"/>
  <c r="S36" i="7"/>
  <c r="S37" i="7"/>
  <c r="S38" i="7"/>
  <c r="E13" i="7"/>
  <c r="E14" i="7"/>
  <c r="E15" i="7" s="1"/>
  <c r="E27" i="7" s="1"/>
  <c r="E41" i="7" s="1"/>
  <c r="E18" i="7"/>
  <c r="E19" i="7"/>
  <c r="E20" i="7"/>
  <c r="E21" i="7"/>
  <c r="E30" i="7"/>
  <c r="E31" i="7"/>
  <c r="E32" i="7"/>
  <c r="E33" i="7"/>
  <c r="E40" i="7" s="1"/>
  <c r="E34" i="7"/>
  <c r="E35" i="7"/>
  <c r="E36" i="7"/>
  <c r="E37" i="7"/>
  <c r="E38" i="7"/>
  <c r="D7" i="11"/>
  <c r="Q7" i="11"/>
  <c r="L7" i="11"/>
  <c r="O7" i="11" s="1"/>
  <c r="O9" i="11" s="1"/>
  <c r="B7" i="11"/>
  <c r="T8" i="11"/>
  <c r="T12" i="11"/>
  <c r="T13" i="11"/>
  <c r="T14" i="11"/>
  <c r="T15" i="11"/>
  <c r="T23" i="11"/>
  <c r="T24" i="11"/>
  <c r="T33" i="11" s="1"/>
  <c r="T25" i="11"/>
  <c r="T27" i="11"/>
  <c r="T28" i="11"/>
  <c r="T29" i="11"/>
  <c r="T30" i="11"/>
  <c r="T31" i="11"/>
  <c r="O8" i="11"/>
  <c r="O12" i="11"/>
  <c r="O19" i="11" s="1"/>
  <c r="O13" i="11"/>
  <c r="O14" i="11"/>
  <c r="O15" i="11"/>
  <c r="O23" i="11"/>
  <c r="O24" i="11"/>
  <c r="O25" i="11"/>
  <c r="O27" i="11"/>
  <c r="O28" i="11"/>
  <c r="O29" i="11"/>
  <c r="O30" i="11"/>
  <c r="O31" i="11"/>
  <c r="J8" i="11"/>
  <c r="J23" i="11"/>
  <c r="J24" i="11"/>
  <c r="J25" i="11"/>
  <c r="J27" i="11"/>
  <c r="J33" i="11" s="1"/>
  <c r="J28" i="11"/>
  <c r="J29" i="11"/>
  <c r="J30" i="11"/>
  <c r="J31" i="11"/>
  <c r="E8" i="11"/>
  <c r="E12" i="11"/>
  <c r="E13" i="11"/>
  <c r="E14" i="11"/>
  <c r="E19" i="11" s="1"/>
  <c r="E15" i="11"/>
  <c r="E23" i="11"/>
  <c r="E24" i="11"/>
  <c r="E25" i="11"/>
  <c r="E27" i="11"/>
  <c r="E28" i="11"/>
  <c r="E29" i="11"/>
  <c r="E30" i="11"/>
  <c r="E31" i="11"/>
  <c r="R12" i="9"/>
  <c r="N14" i="10" s="1"/>
  <c r="D12" i="9"/>
  <c r="K12" i="9"/>
  <c r="S13" i="9"/>
  <c r="S17" i="9"/>
  <c r="S18" i="9"/>
  <c r="S25" i="9" s="1"/>
  <c r="N21" i="10" s="1"/>
  <c r="S19" i="9"/>
  <c r="S20" i="9"/>
  <c r="S29" i="9"/>
  <c r="S30" i="9"/>
  <c r="S31" i="9"/>
  <c r="S32" i="9"/>
  <c r="S33" i="9"/>
  <c r="S34" i="9"/>
  <c r="S39" i="9" s="1"/>
  <c r="N22" i="10" s="1"/>
  <c r="S35" i="9"/>
  <c r="S36" i="9"/>
  <c r="S37" i="9"/>
  <c r="L13" i="9"/>
  <c r="L17" i="9"/>
  <c r="L18" i="9"/>
  <c r="L19" i="9"/>
  <c r="L20" i="9"/>
  <c r="L29" i="9"/>
  <c r="L30" i="9"/>
  <c r="L31" i="9"/>
  <c r="L32" i="9"/>
  <c r="L33" i="9"/>
  <c r="L34" i="9"/>
  <c r="L35" i="9"/>
  <c r="L36" i="9"/>
  <c r="L42" i="9" s="1"/>
  <c r="H22" i="10" s="1"/>
  <c r="L37" i="9"/>
  <c r="E12" i="9"/>
  <c r="E14" i="9" s="1"/>
  <c r="E13" i="9"/>
  <c r="E17" i="9"/>
  <c r="E25" i="9" s="1"/>
  <c r="E18" i="9"/>
  <c r="E19" i="9"/>
  <c r="E20" i="9"/>
  <c r="E29" i="9"/>
  <c r="E39" i="9" s="1"/>
  <c r="E30" i="9"/>
  <c r="E31" i="9"/>
  <c r="E32" i="9"/>
  <c r="E33" i="9"/>
  <c r="E34" i="9"/>
  <c r="E35" i="9"/>
  <c r="E36" i="9"/>
  <c r="E37" i="9"/>
  <c r="S12" i="8"/>
  <c r="S13" i="8"/>
  <c r="S17" i="8"/>
  <c r="S18" i="8"/>
  <c r="S19" i="8"/>
  <c r="S20" i="8"/>
  <c r="S29" i="8"/>
  <c r="S30" i="8"/>
  <c r="S39" i="8" s="1"/>
  <c r="M22" i="10" s="1"/>
  <c r="S31" i="8"/>
  <c r="S32" i="8"/>
  <c r="S33" i="8"/>
  <c r="S34" i="8"/>
  <c r="S35" i="8"/>
  <c r="S36" i="8"/>
  <c r="S37" i="8"/>
  <c r="L12" i="8"/>
  <c r="L13" i="8"/>
  <c r="L17" i="8"/>
  <c r="L18" i="8"/>
  <c r="L19" i="8"/>
  <c r="L20" i="8"/>
  <c r="L29" i="8"/>
  <c r="L30" i="8"/>
  <c r="L31" i="8"/>
  <c r="L42" i="8" s="1"/>
  <c r="G22" i="10" s="1"/>
  <c r="L32" i="8"/>
  <c r="L33" i="8"/>
  <c r="L34" i="8"/>
  <c r="L35" i="8"/>
  <c r="L36" i="8"/>
  <c r="L37" i="8"/>
  <c r="E12" i="8"/>
  <c r="E13" i="8"/>
  <c r="E14" i="8" s="1"/>
  <c r="E26" i="8" s="1"/>
  <c r="E17" i="8"/>
  <c r="E18" i="8"/>
  <c r="E25" i="8" s="1"/>
  <c r="E19" i="8"/>
  <c r="E20" i="8"/>
  <c r="E29" i="8"/>
  <c r="E30" i="8"/>
  <c r="E31" i="8"/>
  <c r="E32" i="8"/>
  <c r="E39" i="8" s="1"/>
  <c r="E33" i="8"/>
  <c r="E34" i="8"/>
  <c r="E35" i="8"/>
  <c r="E36" i="8"/>
  <c r="E37" i="8"/>
  <c r="S12" i="6"/>
  <c r="S13" i="6"/>
  <c r="S17" i="6"/>
  <c r="S24" i="6" s="1"/>
  <c r="S18" i="6"/>
  <c r="S19" i="6"/>
  <c r="S20" i="6"/>
  <c r="S28" i="6"/>
  <c r="S38" i="6" s="1"/>
  <c r="S29" i="6"/>
  <c r="S30" i="6"/>
  <c r="S31" i="6"/>
  <c r="S32" i="6"/>
  <c r="S33" i="6"/>
  <c r="S34" i="6"/>
  <c r="S35" i="6"/>
  <c r="S36" i="6"/>
  <c r="L12" i="6"/>
  <c r="L14" i="6" s="1"/>
  <c r="L13" i="6"/>
  <c r="L17" i="6"/>
  <c r="L18" i="6"/>
  <c r="L24" i="6" s="1"/>
  <c r="L19" i="6"/>
  <c r="L20" i="6"/>
  <c r="L28" i="6"/>
  <c r="L29" i="6"/>
  <c r="L30" i="6"/>
  <c r="L31" i="6"/>
  <c r="L32" i="6"/>
  <c r="L33" i="6"/>
  <c r="L41" i="6" s="1"/>
  <c r="L34" i="6"/>
  <c r="L35" i="6"/>
  <c r="L36" i="6"/>
  <c r="E12" i="6"/>
  <c r="E14" i="6" s="1"/>
  <c r="E13" i="6"/>
  <c r="E17" i="6"/>
  <c r="E18" i="6"/>
  <c r="E19" i="6"/>
  <c r="E24" i="6" s="1"/>
  <c r="E20" i="6"/>
  <c r="E28" i="6"/>
  <c r="E29" i="6"/>
  <c r="E30" i="6"/>
  <c r="E31" i="6"/>
  <c r="E32" i="6"/>
  <c r="E33" i="6"/>
  <c r="E34" i="6"/>
  <c r="E35" i="6"/>
  <c r="E36" i="6"/>
  <c r="G18" i="10"/>
  <c r="E7" i="11"/>
  <c r="E9" i="11" s="1"/>
  <c r="M16" i="10"/>
  <c r="I16" i="10"/>
  <c r="N7" i="11"/>
  <c r="D18" i="10"/>
  <c r="M15" i="10"/>
  <c r="J54" i="10"/>
  <c r="M18" i="10"/>
  <c r="I18" i="10"/>
  <c r="D15" i="10"/>
  <c r="L15" i="7"/>
  <c r="D16" i="10"/>
  <c r="L14" i="8"/>
  <c r="L26" i="8" s="1"/>
  <c r="L43" i="8" s="1"/>
  <c r="M53" i="10"/>
  <c r="S14" i="8"/>
  <c r="L26" i="7"/>
  <c r="F21" i="10"/>
  <c r="C16" i="10"/>
  <c r="C52" i="10"/>
  <c r="L18" i="10"/>
  <c r="K53" i="10"/>
  <c r="K52" i="10"/>
  <c r="L16" i="10"/>
  <c r="G16" i="10"/>
  <c r="E51" i="10"/>
  <c r="L25" i="8"/>
  <c r="G21" i="10" s="1"/>
  <c r="L12" i="9"/>
  <c r="L14" i="9" s="1"/>
  <c r="I7" i="11"/>
  <c r="J7" i="11" s="1"/>
  <c r="J9" i="11" s="1"/>
  <c r="C18" i="10"/>
  <c r="G52" i="10"/>
  <c r="G15" i="10"/>
  <c r="S14" i="6"/>
  <c r="C15" i="10"/>
  <c r="H9" i="10"/>
  <c r="G51" i="10"/>
  <c r="L15" i="10"/>
  <c r="S25" i="8"/>
  <c r="E26" i="7"/>
  <c r="I52" i="10"/>
  <c r="E38" i="6"/>
  <c r="C53" i="10"/>
  <c r="I51" i="10"/>
  <c r="J19" i="10"/>
  <c r="J18" i="10"/>
  <c r="E19" i="10"/>
  <c r="E15" i="10"/>
  <c r="E18" i="10"/>
  <c r="J53" i="10"/>
  <c r="S26" i="7"/>
  <c r="C51" i="10"/>
  <c r="H54" i="10"/>
  <c r="C11" i="10"/>
  <c r="H11" i="10"/>
  <c r="G53" i="10"/>
  <c r="D53" i="10"/>
  <c r="M51" i="10"/>
  <c r="G8" i="10"/>
  <c r="L25" i="9"/>
  <c r="H21" i="10" s="1"/>
  <c r="C54" i="10"/>
  <c r="G54" i="10"/>
  <c r="I53" i="10"/>
  <c r="M52" i="10"/>
  <c r="K51" i="10"/>
  <c r="L54" i="10"/>
  <c r="F54" i="10"/>
  <c r="D51" i="10"/>
  <c r="H14" i="10"/>
  <c r="H15" i="10" s="1"/>
  <c r="I15" i="10"/>
  <c r="D17" i="10"/>
  <c r="E17" i="10"/>
  <c r="G17" i="10"/>
  <c r="I17" i="10"/>
  <c r="I85" i="10" s="1"/>
  <c r="J17" i="10"/>
  <c r="L17" i="10"/>
  <c r="L85" i="10" s="1"/>
  <c r="M17" i="10"/>
  <c r="G12" i="10"/>
  <c r="C17" i="10"/>
  <c r="E85" i="10"/>
  <c r="L27" i="7"/>
  <c r="S26" i="8"/>
  <c r="K22" i="10"/>
  <c r="J86" i="10"/>
  <c r="T81" i="10" s="1"/>
  <c r="M21" i="10"/>
  <c r="I86" i="10"/>
  <c r="L21" i="10"/>
  <c r="L26" i="9"/>
  <c r="L43" i="9" s="1"/>
  <c r="H16" i="10"/>
  <c r="H18" i="10"/>
  <c r="H19" i="10"/>
  <c r="H17" i="10"/>
  <c r="N17" i="10"/>
  <c r="H66" i="10"/>
  <c r="H67" i="10"/>
  <c r="E22" i="10" l="1"/>
  <c r="C22" i="10"/>
  <c r="D22" i="10"/>
  <c r="E21" i="10"/>
  <c r="D21" i="10"/>
  <c r="C21" i="10"/>
  <c r="K21" i="10"/>
  <c r="J21" i="10"/>
  <c r="I21" i="10"/>
  <c r="E40" i="8"/>
  <c r="M70" i="10"/>
  <c r="M76" i="10" s="1"/>
  <c r="M67" i="10"/>
  <c r="M23" i="10"/>
  <c r="G71" i="10"/>
  <c r="H69" i="10"/>
  <c r="H75" i="10" s="1"/>
  <c r="H85" i="10"/>
  <c r="C87" i="10"/>
  <c r="E70" i="10"/>
  <c r="E86" i="10"/>
  <c r="E68" i="10"/>
  <c r="C67" i="10"/>
  <c r="O20" i="11"/>
  <c r="O34" i="11" s="1"/>
  <c r="J20" i="11"/>
  <c r="J34" i="11" s="1"/>
  <c r="L67" i="10"/>
  <c r="M69" i="10"/>
  <c r="M75" i="10" s="1"/>
  <c r="D67" i="10"/>
  <c r="Q67" i="10" s="1"/>
  <c r="L23" i="10"/>
  <c r="L68" i="10"/>
  <c r="L74" i="10" s="1"/>
  <c r="L66" i="10"/>
  <c r="C70" i="10"/>
  <c r="C76" i="10" s="1"/>
  <c r="C86" i="10"/>
  <c r="F71" i="10"/>
  <c r="F87" i="10"/>
  <c r="H23" i="10"/>
  <c r="H70" i="10"/>
  <c r="H76" i="10" s="1"/>
  <c r="H68" i="10"/>
  <c r="H74" i="10" s="1"/>
  <c r="G66" i="10"/>
  <c r="G70" i="10"/>
  <c r="G76" i="10" s="1"/>
  <c r="G23" i="10"/>
  <c r="G69" i="10"/>
  <c r="L25" i="6"/>
  <c r="L42" i="6" s="1"/>
  <c r="D71" i="10"/>
  <c r="L87" i="10"/>
  <c r="F85" i="10"/>
  <c r="L71" i="10"/>
  <c r="L77" i="10" s="1"/>
  <c r="N69" i="10"/>
  <c r="N85" i="10"/>
  <c r="E87" i="10"/>
  <c r="S40" i="8"/>
  <c r="G67" i="10"/>
  <c r="E20" i="11"/>
  <c r="E34" i="11" s="1"/>
  <c r="E25" i="6"/>
  <c r="E39" i="6" s="1"/>
  <c r="I22" i="10"/>
  <c r="J22" i="10"/>
  <c r="L86" i="10"/>
  <c r="K67" i="10"/>
  <c r="L70" i="10"/>
  <c r="L76" i="10" s="1"/>
  <c r="S25" i="6"/>
  <c r="S39" i="6" s="1"/>
  <c r="N15" i="10"/>
  <c r="N67" i="10" s="1"/>
  <c r="N16" i="10"/>
  <c r="N68" i="10" s="1"/>
  <c r="N18" i="10"/>
  <c r="S7" i="11"/>
  <c r="T7" i="11" s="1"/>
  <c r="T9" i="11" s="1"/>
  <c r="T20" i="11" s="1"/>
  <c r="T34" i="11" s="1"/>
  <c r="N66" i="10"/>
  <c r="N23" i="10"/>
  <c r="N19" i="10"/>
  <c r="N71" i="10" s="1"/>
  <c r="M66" i="10"/>
  <c r="L44" i="7"/>
  <c r="E26" i="9"/>
  <c r="E40" i="9" s="1"/>
  <c r="H87" i="10"/>
  <c r="E71" i="10"/>
  <c r="J85" i="10"/>
  <c r="T80" i="10" s="1"/>
  <c r="K17" i="10"/>
  <c r="D9" i="10"/>
  <c r="F16" i="10"/>
  <c r="F68" i="10" s="1"/>
  <c r="K19" i="10"/>
  <c r="D10" i="10"/>
  <c r="D69" i="10" s="1"/>
  <c r="F15" i="10"/>
  <c r="F67" i="10" s="1"/>
  <c r="K23" i="10"/>
  <c r="L69" i="10"/>
  <c r="L75" i="10" s="1"/>
  <c r="J87" i="10"/>
  <c r="T82" i="10" s="1"/>
  <c r="G9" i="10"/>
  <c r="S12" i="9"/>
  <c r="S14" i="9" s="1"/>
  <c r="S26" i="9" s="1"/>
  <c r="S40" i="9" s="1"/>
  <c r="F11" i="10"/>
  <c r="H71" i="10"/>
  <c r="H77" i="10" s="1"/>
  <c r="K16" i="10"/>
  <c r="K68" i="10" s="1"/>
  <c r="K74" i="10" s="1"/>
  <c r="F18" i="10"/>
  <c r="K66" i="10"/>
  <c r="M85" i="10"/>
  <c r="F23" i="10"/>
  <c r="M68" i="10"/>
  <c r="M74" i="10" s="1"/>
  <c r="M87" i="10"/>
  <c r="F17" i="10"/>
  <c r="F69" i="10" s="1"/>
  <c r="I67" i="10"/>
  <c r="M71" i="10"/>
  <c r="M77" i="10" s="1"/>
  <c r="F66" i="10"/>
  <c r="K18" i="10"/>
  <c r="J16" i="10"/>
  <c r="F75" i="10" l="1"/>
  <c r="K70" i="10"/>
  <c r="K76" i="10" s="1"/>
  <c r="K86" i="10"/>
  <c r="J66" i="10"/>
  <c r="R66" i="10" s="1"/>
  <c r="J23" i="10"/>
  <c r="J70" i="10"/>
  <c r="K85" i="10"/>
  <c r="K69" i="10"/>
  <c r="K75" i="10" s="1"/>
  <c r="K80" i="10" s="1"/>
  <c r="G77" i="10"/>
  <c r="J71" i="10"/>
  <c r="J68" i="10"/>
  <c r="N77" i="10"/>
  <c r="H80" i="10"/>
  <c r="H82" i="10"/>
  <c r="H81" i="10"/>
  <c r="L81" i="10"/>
  <c r="L82" i="10"/>
  <c r="L80" i="10"/>
  <c r="C66" i="10"/>
  <c r="C23" i="10"/>
  <c r="C68" i="10"/>
  <c r="C74" i="10" s="1"/>
  <c r="C69" i="10"/>
  <c r="C75" i="10" s="1"/>
  <c r="J69" i="10"/>
  <c r="N87" i="10"/>
  <c r="D66" i="10"/>
  <c r="Q66" i="10" s="1"/>
  <c r="D23" i="10"/>
  <c r="D70" i="10"/>
  <c r="K81" i="10"/>
  <c r="Q71" i="10"/>
  <c r="D77" i="10"/>
  <c r="S71" i="10" s="1"/>
  <c r="E69" i="10"/>
  <c r="E67" i="10"/>
  <c r="E76" i="10" s="1"/>
  <c r="E23" i="10"/>
  <c r="E66" i="10"/>
  <c r="N75" i="10"/>
  <c r="G85" i="10"/>
  <c r="G86" i="10"/>
  <c r="G87" i="10"/>
  <c r="G68" i="10"/>
  <c r="G74" i="10" s="1"/>
  <c r="Q69" i="10"/>
  <c r="D75" i="10"/>
  <c r="S69" i="10" s="1"/>
  <c r="E77" i="10"/>
  <c r="M80" i="10"/>
  <c r="M82" i="10"/>
  <c r="M81" i="10"/>
  <c r="F86" i="10"/>
  <c r="F70" i="10"/>
  <c r="F76" i="10" s="1"/>
  <c r="K87" i="10"/>
  <c r="K71" i="10"/>
  <c r="K77" i="10" s="1"/>
  <c r="K82" i="10" s="1"/>
  <c r="N70" i="10"/>
  <c r="N76" i="10" s="1"/>
  <c r="N86" i="10"/>
  <c r="G75" i="10"/>
  <c r="F77" i="10"/>
  <c r="C71" i="10"/>
  <c r="C77" i="10" s="1"/>
  <c r="D85" i="10"/>
  <c r="S80" i="10" s="1"/>
  <c r="D68" i="10"/>
  <c r="D86" i="10"/>
  <c r="S81" i="10" s="1"/>
  <c r="D87" i="10"/>
  <c r="S82" i="10" s="1"/>
  <c r="F74" i="10"/>
  <c r="N74" i="10"/>
  <c r="J67" i="10"/>
  <c r="R67" i="10" s="1"/>
  <c r="I66" i="10"/>
  <c r="I71" i="10"/>
  <c r="I77" i="10" s="1"/>
  <c r="I69" i="10"/>
  <c r="I75" i="10" s="1"/>
  <c r="I68" i="10"/>
  <c r="I74" i="10" s="1"/>
  <c r="I23" i="10"/>
  <c r="I70" i="10"/>
  <c r="I76" i="10" s="1"/>
  <c r="N80" i="10" l="1"/>
  <c r="N81" i="10"/>
  <c r="N82" i="10"/>
  <c r="C80" i="10"/>
  <c r="C82" i="10"/>
  <c r="C81" i="10"/>
  <c r="J76" i="10"/>
  <c r="T70" i="10" s="1"/>
  <c r="R70" i="10"/>
  <c r="I82" i="10"/>
  <c r="I80" i="10"/>
  <c r="I81" i="10"/>
  <c r="R69" i="10"/>
  <c r="J75" i="10"/>
  <c r="T69" i="10" s="1"/>
  <c r="D76" i="10"/>
  <c r="S70" i="10" s="1"/>
  <c r="Q70" i="10"/>
  <c r="G82" i="10"/>
  <c r="G80" i="10"/>
  <c r="G81" i="10"/>
  <c r="E75" i="10"/>
  <c r="E74" i="10"/>
  <c r="R68" i="10"/>
  <c r="J74" i="10"/>
  <c r="R71" i="10"/>
  <c r="J77" i="10"/>
  <c r="T71" i="10" s="1"/>
  <c r="F82" i="10"/>
  <c r="F81" i="10"/>
  <c r="F80" i="10"/>
  <c r="Q68" i="10"/>
  <c r="D74" i="10"/>
  <c r="J82" i="10" l="1"/>
  <c r="R82" i="10" s="1"/>
  <c r="J80" i="10"/>
  <c r="R80" i="10" s="1"/>
  <c r="T68" i="10"/>
  <c r="J81" i="10"/>
  <c r="R81" i="10" s="1"/>
  <c r="S68" i="10"/>
  <c r="D81" i="10"/>
  <c r="Q81" i="10" s="1"/>
  <c r="D80" i="10"/>
  <c r="Q80" i="10" s="1"/>
  <c r="D82" i="10"/>
  <c r="Q82" i="10" s="1"/>
  <c r="E80" i="10"/>
  <c r="E82" i="10"/>
  <c r="E8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 Lund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Udbyttenormer fra Gødnings- og harmoniregler 20/21
</t>
        </r>
      </text>
    </comment>
    <comment ref="AB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Hybridrug</t>
        </r>
      </text>
    </comment>
    <comment ref="AC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Vårbyg</t>
        </r>
      </text>
    </comment>
    <comment ref="AD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Vinterhavre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 Lund</author>
  </authors>
  <commentList>
    <comment ref="R1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Oversigt landsforsøg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 Lund</author>
  </authors>
  <commentList>
    <comment ref="R1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Oversigt landsforsøg/pris på brødrug fra Karen Jørgensen (+ 20 kr. pr. hkg)
</t>
        </r>
      </text>
    </comment>
    <comment ref="S25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Ingen vækstregulering (155 kr. pr. ha)</t>
        </r>
      </text>
    </comment>
    <comment ref="S31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1 ekstra gødningsspredning
(jf. Carsten)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 Lund</author>
  </authors>
  <commentList>
    <comment ref="R12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Oversigt landsforsøg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 Lund</author>
  </authors>
  <commentList>
    <comment ref="R12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Pristillæg på 10-15 kr. jf. Karen Jørgensen/DLG</t>
        </r>
      </text>
    </comment>
    <comment ref="S24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Ove Lund:</t>
        </r>
        <r>
          <rPr>
            <sz val="9"/>
            <color indexed="81"/>
            <rFont val="Tahoma"/>
            <charset val="1"/>
          </rPr>
          <t xml:space="preserve">
Ingen vækstregulering (15 kr. pr. ha)</t>
        </r>
      </text>
    </comment>
  </commentList>
</comments>
</file>

<file path=xl/sharedStrings.xml><?xml version="1.0" encoding="utf-8"?>
<sst xmlns="http://schemas.openxmlformats.org/spreadsheetml/2006/main" count="1367" uniqueCount="131">
  <si>
    <t>Vinterhvede til brød</t>
  </si>
  <si>
    <t>Kalkulebeskrivelse:</t>
  </si>
  <si>
    <t>Kalkulen gælder for:</t>
  </si>
  <si>
    <t>2021</t>
  </si>
  <si>
    <t>Produktionsform:</t>
  </si>
  <si>
    <t>Konventionel</t>
  </si>
  <si>
    <t>Jordbonitet:</t>
  </si>
  <si>
    <t>JB 5-6</t>
  </si>
  <si>
    <t>Gødning:</t>
  </si>
  <si>
    <t>Uden husdyrgødning</t>
  </si>
  <si>
    <t>Emne</t>
  </si>
  <si>
    <t>Kvantum</t>
  </si>
  <si>
    <t/>
  </si>
  <si>
    <t>Pris</t>
  </si>
  <si>
    <t>Beløb</t>
  </si>
  <si>
    <t>Udbytte</t>
  </si>
  <si>
    <t>Kerne</t>
  </si>
  <si>
    <t>Kg</t>
  </si>
  <si>
    <t>Halm salg eller forbrug</t>
  </si>
  <si>
    <t>Udbytte i alt</t>
  </si>
  <si>
    <t>Stykomkostninger</t>
  </si>
  <si>
    <t>Udsæd</t>
  </si>
  <si>
    <t>Handelsgødning Kvælstof</t>
  </si>
  <si>
    <t>Handelsgødning Fosfor</t>
  </si>
  <si>
    <t>Handelsgødning Kalium</t>
  </si>
  <si>
    <t>Ukrudt</t>
  </si>
  <si>
    <t>Enh</t>
  </si>
  <si>
    <t>Sygdom</t>
  </si>
  <si>
    <t>Skadedyr</t>
  </si>
  <si>
    <t>Stykomkostninger i alt</t>
  </si>
  <si>
    <t>Dækningsbidrag pr Ha</t>
  </si>
  <si>
    <t>Maskin- og arbejdsomkostninger</t>
  </si>
  <si>
    <t>Pløjning</t>
  </si>
  <si>
    <t>Gødningsspredning</t>
  </si>
  <si>
    <t>Komb. harvning og såning</t>
  </si>
  <si>
    <t>Sprøjtning</t>
  </si>
  <si>
    <t>Mejetærskning</t>
  </si>
  <si>
    <t>Hjemkørsel, korn</t>
  </si>
  <si>
    <t>Tørring, korn</t>
  </si>
  <si>
    <t>Halmpresning</t>
  </si>
  <si>
    <t>Hjemkørsel, halm</t>
  </si>
  <si>
    <t>Øvrige opgaver</t>
  </si>
  <si>
    <t>I alt maskin- og arbejdsomkostninger</t>
  </si>
  <si>
    <t>DB efter maskin- og arbejdsomkostninger</t>
  </si>
  <si>
    <t>- Ajourført: 5. oktober 2020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</si>
  <si>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</si>
  <si>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</si>
  <si>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</si>
  <si>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</si>
  <si>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JB 1-3</t>
  </si>
  <si>
    <t>Bruttoudbytte</t>
  </si>
  <si>
    <t>Vækstregulering</t>
  </si>
  <si>
    <t>Dækningsbidrag pr ha</t>
  </si>
  <si>
    <t>Vanding fast omkostning</t>
  </si>
  <si>
    <t>Vanding flytning</t>
  </si>
  <si>
    <t>Vanding pr millimeter</t>
  </si>
  <si>
    <t>Vårbyg, malt</t>
  </si>
  <si>
    <t>Kerne salg</t>
  </si>
  <si>
    <t>Havre</t>
  </si>
  <si>
    <t>Brødhvede</t>
  </si>
  <si>
    <t>Brødrug</t>
  </si>
  <si>
    <t>Maltbyg</t>
  </si>
  <si>
    <t>Grynhavre</t>
  </si>
  <si>
    <t>JB5&amp;6</t>
  </si>
  <si>
    <t>Kerneudbytte, kg. pr. ha</t>
  </si>
  <si>
    <t>Halmudbytte, kg. pr. ha</t>
  </si>
  <si>
    <t>Kernepris, kr. pr. hkg</t>
  </si>
  <si>
    <t>Halmpris, kr. pr. hkg</t>
  </si>
  <si>
    <t>Maskin- og arbejdsomkostninger, kr. pr. ha</t>
  </si>
  <si>
    <t>DB 2 efter maskin- og arbejdsomkostninger</t>
  </si>
  <si>
    <t>Stykomkostninger:</t>
  </si>
  <si>
    <t>Led</t>
  </si>
  <si>
    <t>Ingen sprøjtninger</t>
  </si>
  <si>
    <t>kr. pr. l</t>
  </si>
  <si>
    <t>Enhed</t>
  </si>
  <si>
    <t>kr. pr. sprøjtning</t>
  </si>
  <si>
    <t>Budgetkalkule</t>
  </si>
  <si>
    <t>Ingen planteværn</t>
  </si>
  <si>
    <t>Prosaro EC 250</t>
  </si>
  <si>
    <t>Propulse SE 250</t>
  </si>
  <si>
    <t>Orius Max 200 EW</t>
  </si>
  <si>
    <t>Comet Pro</t>
  </si>
  <si>
    <t>Terpal</t>
  </si>
  <si>
    <t>Prosaro EC 249</t>
  </si>
  <si>
    <t>Bell</t>
  </si>
  <si>
    <t>Metaxon</t>
  </si>
  <si>
    <t>Proline EC 250</t>
  </si>
  <si>
    <t>Led 2</t>
  </si>
  <si>
    <t>Led 3</t>
  </si>
  <si>
    <t>Led 4</t>
  </si>
  <si>
    <t>Led 5</t>
  </si>
  <si>
    <t>Simulering</t>
  </si>
  <si>
    <t>+udb/+pris</t>
  </si>
  <si>
    <t>Kalkuler 2021*:</t>
  </si>
  <si>
    <t>Priser**</t>
  </si>
  <si>
    <t>** Middeldatabasen</t>
  </si>
  <si>
    <t>* Farmtal Online</t>
  </si>
  <si>
    <t>Led 1</t>
  </si>
  <si>
    <t>Stykomkostninger, kr. pr. ha</t>
  </si>
  <si>
    <t>DB 2 efter maskin- og arbejdsomkostninger (budgetkalkule)</t>
  </si>
  <si>
    <t>Kalk.</t>
  </si>
  <si>
    <t>Netto mer DB2 efter maskin- og arbejdsomkostninger, i forhold til Led 1</t>
  </si>
  <si>
    <t>Beregninger, herunder simulering</t>
  </si>
  <si>
    <t>Sprøjtninger</t>
  </si>
  <si>
    <t>Sygdom, skadedyr</t>
  </si>
  <si>
    <t>Maskin- og arbejdsomkostninger til sprøjtning for svamp og skadedyr:</t>
  </si>
  <si>
    <t>Omkostninger i forsøgsbehandling til svamp og skadedyr:</t>
  </si>
  <si>
    <t>Vinterrug hybrid</t>
  </si>
  <si>
    <t>Unit</t>
  </si>
  <si>
    <t>Brødhvede 2 forsøg</t>
  </si>
  <si>
    <t>Brødhvede gulrust</t>
  </si>
  <si>
    <t>Brødrug (hybrid)</t>
  </si>
  <si>
    <t>Gødnings- og harmoniregler 20/21</t>
  </si>
  <si>
    <t>JB 1-4 u. vanding</t>
  </si>
  <si>
    <t>Pesticidfri kernepris, kr. pr. hkg</t>
  </si>
  <si>
    <t>JB2&amp;4 uden vanding</t>
  </si>
  <si>
    <t>Justerede budgetkalkuler JB5&amp;6</t>
  </si>
  <si>
    <t>Led 2 til 3</t>
  </si>
  <si>
    <t>Led 2 til 4</t>
  </si>
  <si>
    <t>Led 2 til 5</t>
  </si>
  <si>
    <t>Forskel mellem led 2 og de øvrige led:</t>
  </si>
  <si>
    <t>Prisændringer for 0-effekt fra (kr. pr. hkg):</t>
  </si>
  <si>
    <t>Led 2 og 3</t>
  </si>
  <si>
    <t>Led 2 og 4</t>
  </si>
  <si>
    <t>Led 2 og 5</t>
  </si>
  <si>
    <t>Brødhvede JB5&amp;6</t>
  </si>
  <si>
    <t>Brødhvede JB2&amp;4</t>
  </si>
  <si>
    <t>+/- DB2 efter maskin- og arbejdsomkostninger, i forhold til Led 1</t>
  </si>
  <si>
    <t>Prisændringer  for at led 3 kan opnå 0-effekt i DB2 ift. led 2 (kr. pr. hkg)</t>
  </si>
  <si>
    <t>Forskel i DB2 mellem led 2 og led 3 (kr. pr. ha)</t>
  </si>
  <si>
    <t>Forskel mellem led 2 og led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</si>
</sst>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_ ;\-#,##0\ "/>
    <numFmt numFmtId="165" formatCode="#,##0.00_ ;\-#,##0.00\ "/>
    <numFmt numFmtId="166" formatCode="#,##0.000_ ;\-#,##0.000\ "/>
    <numFmt numFmtId="167" formatCode="#,##0.0_ ;\-#,##0.0\ "/>
    <numFmt numFmtId="168" formatCode="_-* #,##0_-;\-* #,##0_-;_-* &quot;-&quot;??_-;_-@_-"/>
    <numFmt numFmtId="169" formatCode="0.0%"/>
  </numFmts>
  <fonts count="15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" fillId="0" borderId="2" xfId="0" applyFont="1" applyBorder="1" applyAlignment="1"/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168" fontId="0" fillId="0" borderId="0" xfId="1" applyNumberFormat="1" applyFont="1"/>
    <xf numFmtId="168" fontId="2" fillId="0" borderId="0" xfId="1" applyNumberFormat="1" applyFont="1"/>
    <xf numFmtId="0" fontId="0" fillId="0" borderId="3" xfId="0" applyBorder="1"/>
    <xf numFmtId="168" fontId="0" fillId="0" borderId="3" xfId="1" applyNumberFormat="1" applyFont="1" applyBorder="1"/>
    <xf numFmtId="0" fontId="0" fillId="0" borderId="0" xfId="0" applyFont="1"/>
    <xf numFmtId="0" fontId="6" fillId="0" borderId="3" xfId="0" applyFont="1" applyFill="1" applyBorder="1" applyAlignment="1">
      <alignment horizontal="left" vertical="top" wrapText="1"/>
    </xf>
    <xf numFmtId="168" fontId="0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0" fontId="0" fillId="0" borderId="0" xfId="0" applyFont="1" applyBorder="1"/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3" xfId="0" applyFill="1" applyBorder="1"/>
    <xf numFmtId="0" fontId="2" fillId="0" borderId="0" xfId="0" quotePrefix="1" applyFont="1"/>
    <xf numFmtId="0" fontId="8" fillId="0" borderId="0" xfId="0" applyFont="1"/>
    <xf numFmtId="0" fontId="0" fillId="0" borderId="0" xfId="0" applyFill="1" applyBorder="1" applyAlignment="1">
      <alignment horizontal="left"/>
    </xf>
    <xf numFmtId="0" fontId="11" fillId="0" borderId="0" xfId="0" applyFont="1"/>
    <xf numFmtId="164" fontId="4" fillId="3" borderId="2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168" fontId="0" fillId="3" borderId="0" xfId="1" applyNumberFormat="1" applyFont="1" applyFill="1"/>
    <xf numFmtId="168" fontId="6" fillId="3" borderId="0" xfId="0" applyNumberFormat="1" applyFont="1" applyFill="1" applyBorder="1" applyAlignment="1">
      <alignment horizontal="left" vertical="top" wrapText="1"/>
    </xf>
    <xf numFmtId="168" fontId="0" fillId="0" borderId="0" xfId="1" applyNumberFormat="1" applyFont="1" applyFill="1"/>
    <xf numFmtId="168" fontId="0" fillId="3" borderId="3" xfId="1" applyNumberFormat="1" applyFont="1" applyFill="1" applyBorder="1"/>
    <xf numFmtId="0" fontId="12" fillId="0" borderId="3" xfId="0" applyFont="1" applyFill="1" applyBorder="1" applyAlignment="1">
      <alignment horizontal="left" vertical="top" wrapText="1"/>
    </xf>
    <xf numFmtId="168" fontId="0" fillId="0" borderId="0" xfId="0" applyNumberFormat="1" applyFont="1"/>
    <xf numFmtId="168" fontId="0" fillId="0" borderId="3" xfId="0" applyNumberFormat="1" applyFont="1" applyBorder="1"/>
    <xf numFmtId="164" fontId="4" fillId="0" borderId="0" xfId="0" applyNumberFormat="1" applyFont="1" applyBorder="1" applyAlignment="1">
      <alignment horizontal="right"/>
    </xf>
    <xf numFmtId="168" fontId="12" fillId="3" borderId="0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43" fontId="0" fillId="0" borderId="0" xfId="1" applyFont="1"/>
    <xf numFmtId="43" fontId="0" fillId="0" borderId="0" xfId="0" applyNumberFormat="1"/>
    <xf numFmtId="164" fontId="0" fillId="0" borderId="0" xfId="0" applyNumberFormat="1" applyFont="1"/>
    <xf numFmtId="164" fontId="0" fillId="0" borderId="3" xfId="0" applyNumberFormat="1" applyFont="1" applyBorder="1"/>
    <xf numFmtId="164" fontId="0" fillId="0" borderId="0" xfId="0" applyNumberFormat="1"/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 wrapText="1"/>
    </xf>
    <xf numFmtId="1" fontId="0" fillId="0" borderId="0" xfId="0" applyNumberFormat="1" applyFont="1"/>
    <xf numFmtId="167" fontId="0" fillId="0" borderId="0" xfId="0" applyNumberFormat="1" applyFont="1"/>
    <xf numFmtId="168" fontId="0" fillId="0" borderId="4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9" fontId="0" fillId="3" borderId="0" xfId="2" applyNumberFormat="1" applyFont="1" applyFill="1"/>
    <xf numFmtId="169" fontId="0" fillId="3" borderId="0" xfId="0" applyNumberFormat="1" applyFill="1"/>
    <xf numFmtId="168" fontId="0" fillId="0" borderId="0" xfId="1" applyNumberFormat="1" applyFont="1" applyFill="1" applyBorder="1"/>
    <xf numFmtId="168" fontId="0" fillId="0" borderId="3" xfId="1" applyNumberFormat="1" applyFont="1" applyFill="1" applyBorder="1"/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" fontId="0" fillId="0" borderId="4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 DB efter</a:t>
            </a:r>
            <a:r>
              <a:rPr lang="en-US" baseline="0"/>
              <a:t> maskin- og arbejdsomk. ift. led 1, JB5&amp;6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1991260751379854"/>
          <c:y val="0.17171296296296296"/>
          <c:w val="0.7495319018704798"/>
          <c:h val="0.56655281103996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Simulering!$B$74</c:f>
              <c:strCache>
                <c:ptCount val="1"/>
                <c:pt idx="0">
                  <c:v>Led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Simulering!$I$5:$N$5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Simulering!$I$74:$N$74</c:f>
              <c:numCache>
                <c:formatCode>#,##0_ ;\-#,##0\ </c:formatCode>
                <c:ptCount val="5"/>
                <c:pt idx="0">
                  <c:v>-412.55000000000018</c:v>
                </c:pt>
                <c:pt idx="1">
                  <c:v>3524.5</c:v>
                </c:pt>
                <c:pt idx="2">
                  <c:v>-130</c:v>
                </c:pt>
                <c:pt idx="3">
                  <c:v>-115.75</c:v>
                </c:pt>
                <c:pt idx="4">
                  <c:v>-279.19999999999982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0-40B2-9B60-A11E656EA54C}"/>
            </c:ext>
          </c:extLst>
        </c:ser>
        <c:ser>
          <c:idx val="1"/>
          <c:order val="1"/>
          <c:tx>
            <c:strRef>
              <c:f>Simulering!$B$75</c:f>
              <c:strCache>
                <c:ptCount val="1"/>
                <c:pt idx="0">
                  <c:v>Led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Simulering!$I$5:$N$5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Simulering!$I$75:$N$75</c:f>
              <c:numCache>
                <c:formatCode>#,##0_ ;\-#,##0\ </c:formatCode>
                <c:ptCount val="5"/>
                <c:pt idx="0">
                  <c:v>-433.65000000000055</c:v>
                </c:pt>
                <c:pt idx="1">
                  <c:v>3606.75</c:v>
                </c:pt>
                <c:pt idx="2">
                  <c:v>-312</c:v>
                </c:pt>
                <c:pt idx="3">
                  <c:v>-325</c:v>
                </c:pt>
                <c:pt idx="4">
                  <c:v>-236.25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0-40B2-9B60-A11E656EA54C}"/>
            </c:ext>
          </c:extLst>
        </c:ser>
        <c:ser>
          <c:idx val="2"/>
          <c:order val="2"/>
          <c:tx>
            <c:strRef>
              <c:f>Simulering!$B$76</c:f>
              <c:strCache>
                <c:ptCount val="1"/>
                <c:pt idx="0">
                  <c:v>Led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Simulering!$I$5:$N$5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Simulering!$I$76:$N$76</c:f>
              <c:numCache>
                <c:formatCode>#,##0_ ;\-#,##0\ </c:formatCode>
                <c:ptCount val="5"/>
                <c:pt idx="0">
                  <c:v>-507.10000000000036</c:v>
                </c:pt>
                <c:pt idx="1">
                  <c:v>3379.8999999999992</c:v>
                </c:pt>
                <c:pt idx="2">
                  <c:v>-450</c:v>
                </c:pt>
                <c:pt idx="3">
                  <c:v>-539.5</c:v>
                </c:pt>
                <c:pt idx="4">
                  <c:v>-371.25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0-40B2-9B60-A11E656EA54C}"/>
            </c:ext>
          </c:extLst>
        </c:ser>
        <c:ser>
          <c:idx val="3"/>
          <c:order val="3"/>
          <c:tx>
            <c:strRef>
              <c:f>Simulering!$B$77</c:f>
              <c:strCache>
                <c:ptCount val="1"/>
                <c:pt idx="0">
                  <c:v>Led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Simulering!$I$5:$N$5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Simulering!$I$77:$N$77</c:f>
              <c:numCache>
                <c:formatCode>#,##0_ ;\-#,##0\ </c:formatCode>
                <c:ptCount val="5"/>
                <c:pt idx="0">
                  <c:v>-1229.25</c:v>
                </c:pt>
                <c:pt idx="1">
                  <c:v>2822.2</c:v>
                </c:pt>
                <c:pt idx="2">
                  <c:v>-424.59999999999991</c:v>
                </c:pt>
                <c:pt idx="3">
                  <c:v>-896.75</c:v>
                </c:pt>
                <c:pt idx="4">
                  <c:v>-1470.1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0-40B2-9B60-A11E656EA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57395612038555"/>
          <c:y val="0.91580865830068736"/>
          <c:w val="0.56755503587146794"/>
          <c:h val="6.4947710356376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</a:t>
            </a:r>
            <a:r>
              <a:rPr lang="en-US" baseline="0"/>
              <a:t> salgspris for at opnå </a:t>
            </a:r>
            <a:r>
              <a:rPr lang="en-US"/>
              <a:t>DB2 som led 2 (kr. pr. hkg),</a:t>
            </a:r>
            <a:r>
              <a:rPr lang="en-US" baseline="0"/>
              <a:t> JB2&amp;4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08182159048301"/>
          <c:y val="0.17171296296296296"/>
          <c:w val="0.78862623990183056"/>
          <c:h val="0.60486042353309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Simulering!$B$85</c:f>
              <c:strCache>
                <c:ptCount val="1"/>
                <c:pt idx="0">
                  <c:v>Led 2 til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Simulering!$C$84:$H$84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Simulering!$C$85:$H$85</c:f>
              <c:numCache>
                <c:formatCode>#,##0.0_ ;\-#,##0.0\ </c:formatCode>
                <c:ptCount val="5"/>
                <c:pt idx="0">
                  <c:v>4.4899043570648299E-2</c:v>
                </c:pt>
                <c:pt idx="1">
                  <c:v>-1.3085808580858056</c:v>
                </c:pt>
                <c:pt idx="2">
                  <c:v>2.9913470505601345</c:v>
                </c:pt>
                <c:pt idx="3">
                  <c:v>3.3973625422967912</c:v>
                </c:pt>
                <c:pt idx="4">
                  <c:v>-0.53581010700419818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1-4E6F-988B-896DA9ADD65C}"/>
            </c:ext>
          </c:extLst>
        </c:ser>
        <c:ser>
          <c:idx val="1"/>
          <c:order val="1"/>
          <c:tx>
            <c:strRef>
              <c:f>Simulering!$B$86</c:f>
              <c:strCache>
                <c:ptCount val="1"/>
                <c:pt idx="0">
                  <c:v>Led 2 til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Simulering!$C$84:$H$84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Simulering!$C$86:$H$86</c:f>
              <c:numCache>
                <c:formatCode>#,##0.0_ ;\-#,##0.0\ </c:formatCode>
                <c:ptCount val="5"/>
                <c:pt idx="0">
                  <c:v>2.3224779124717374</c:v>
                </c:pt>
                <c:pt idx="1">
                  <c:v>3.5486441331448528</c:v>
                </c:pt>
                <c:pt idx="2">
                  <c:v>5.1091357674918196</c:v>
                </c:pt>
                <c:pt idx="3">
                  <c:v>8.0760253903662864</c:v>
                </c:pt>
                <c:pt idx="4">
                  <c:v>1.8693207075144935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1-4E6F-988B-896DA9ADD65C}"/>
            </c:ext>
          </c:extLst>
        </c:ser>
        <c:ser>
          <c:idx val="2"/>
          <c:order val="2"/>
          <c:tx>
            <c:strRef>
              <c:f>Simulering!$B$87</c:f>
              <c:strCache>
                <c:ptCount val="1"/>
                <c:pt idx="0">
                  <c:v>Led 2 til 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Simulering!$C$84:$H$84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Simulering!$C$87:$H$87</c:f>
              <c:numCache>
                <c:formatCode>#,##0.0_ ;\-#,##0.0\ </c:formatCode>
                <c:ptCount val="5"/>
                <c:pt idx="0">
                  <c:v>10.557098848835324</c:v>
                </c:pt>
                <c:pt idx="1">
                  <c:v>11.613333333333333</c:v>
                </c:pt>
                <c:pt idx="2">
                  <c:v>4.7636316539308288</c:v>
                </c:pt>
                <c:pt idx="3">
                  <c:v>14.120450325979018</c:v>
                </c:pt>
                <c:pt idx="4">
                  <c:v>19.067175624552654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1-4E6F-988B-896DA9AD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</a:t>
            </a:r>
            <a:r>
              <a:rPr lang="en-US" baseline="0"/>
              <a:t> salgspris for at opnå </a:t>
            </a:r>
            <a:r>
              <a:rPr lang="en-US"/>
              <a:t>DB2 som led 2 (kr. pr. hkg),</a:t>
            </a:r>
            <a:r>
              <a:rPr lang="en-US" baseline="0"/>
              <a:t> JB5&amp;6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1991260751379854"/>
          <c:y val="0.17171296296296296"/>
          <c:w val="0.7495319018704798"/>
          <c:h val="0.6550735152174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Simulering!$B$85</c:f>
              <c:strCache>
                <c:ptCount val="1"/>
                <c:pt idx="0">
                  <c:v>Led 2 til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Simulering!$I$84:$N$84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Simulering!$I$85:$N$85</c:f>
              <c:numCache>
                <c:formatCode>#,##0.0_ ;\-#,##0.0\ </c:formatCode>
                <c:ptCount val="5"/>
                <c:pt idx="0">
                  <c:v>0.22422954303931952</c:v>
                </c:pt>
                <c:pt idx="1">
                  <c:v>-1.0858085808580857</c:v>
                </c:pt>
                <c:pt idx="2">
                  <c:v>2.3633294377353593</c:v>
                </c:pt>
                <c:pt idx="3">
                  <c:v>3.0361288450377248</c:v>
                </c:pt>
                <c:pt idx="4">
                  <c:v>-0.58747093420872665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2-4B11-92BD-0DA23B6935AD}"/>
            </c:ext>
          </c:extLst>
        </c:ser>
        <c:ser>
          <c:idx val="1"/>
          <c:order val="1"/>
          <c:tx>
            <c:strRef>
              <c:f>Simulering!$B$86</c:f>
              <c:strCache>
                <c:ptCount val="1"/>
                <c:pt idx="0">
                  <c:v>Led 2 til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Simulering!$I$84:$N$84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Simulering!$I$86:$N$86</c:f>
              <c:numCache>
                <c:formatCode>#,##0.0_ ;\-#,##0.0\ </c:formatCode>
                <c:ptCount val="5"/>
                <c:pt idx="0">
                  <c:v>0.97133757961783451</c:v>
                </c:pt>
                <c:pt idx="1">
                  <c:v>1.8583729597738075</c:v>
                </c:pt>
                <c:pt idx="2">
                  <c:v>4.1553045059083233</c:v>
                </c:pt>
                <c:pt idx="3">
                  <c:v>5.9498736310025269</c:v>
                </c:pt>
                <c:pt idx="4">
                  <c:v>1.2370649106302918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2-4B11-92BD-0DA23B6935AD}"/>
            </c:ext>
          </c:extLst>
        </c:ser>
        <c:ser>
          <c:idx val="2"/>
          <c:order val="2"/>
          <c:tx>
            <c:strRef>
              <c:f>Simulering!$B$87</c:f>
              <c:strCache>
                <c:ptCount val="1"/>
                <c:pt idx="0">
                  <c:v>Led 2 til 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Simulering!$I$84:$N$84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Simulering!$I$87:$N$87</c:f>
              <c:numCache>
                <c:formatCode>#,##0.0_ ;\-#,##0.0\ </c:formatCode>
                <c:ptCount val="5"/>
                <c:pt idx="0">
                  <c:v>8.8277576609198505</c:v>
                </c:pt>
                <c:pt idx="1">
                  <c:v>9.4585858585858578</c:v>
                </c:pt>
                <c:pt idx="2">
                  <c:v>3.8155679316150763</c:v>
                </c:pt>
                <c:pt idx="3">
                  <c:v>11.169908466819221</c:v>
                </c:pt>
                <c:pt idx="4">
                  <c:v>17.588243981686603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2-4B11-92BD-0DA23B69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+/- DB efter maskin- og arbejdsomk. ift. led 1</a:t>
            </a:r>
            <a:endParaRPr lang="da-DK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3189564940746044"/>
          <c:y val="0.18491755028112147"/>
          <c:w val="0.74078103873379464"/>
          <c:h val="0.65874963939279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Simulering!$C$73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Simulering!$P$68:$P$71</c:f>
              <c:strCache>
                <c:ptCount val="4"/>
                <c:pt idx="0">
                  <c:v>Led 2</c:v>
                </c:pt>
                <c:pt idx="1">
                  <c:v>Led 3</c:v>
                </c:pt>
                <c:pt idx="2">
                  <c:v>Led 4</c:v>
                </c:pt>
                <c:pt idx="3">
                  <c:v>Led 5</c:v>
                </c:pt>
              </c:strCache>
            </c:strRef>
          </c:cat>
          <c:val>
            <c:numRef>
              <c:f>Simulering!$C$74:$C$77</c:f>
            </c:numRef>
          </c:val>
          <c:extLst>
            <c:ext xmlns:c16="http://schemas.microsoft.com/office/drawing/2014/chart" uri="{C3380CC4-5D6E-409C-BE32-E72D297353CC}">
              <c16:uniqueId val="{00000000-0FE6-4724-95F7-195A1E15D893}"/>
            </c:ext>
          </c:extLst>
        </c:ser>
        <c:ser>
          <c:idx val="1"/>
          <c:order val="1"/>
          <c:tx>
            <c:strRef>
              <c:f>Simulering!$S$65</c:f>
              <c:strCache>
                <c:ptCount val="1"/>
                <c:pt idx="0">
                  <c:v> Brødhvede JB2&amp;4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Simulering!$P$68:$P$71</c:f>
              <c:strCache>
                <c:ptCount val="4"/>
                <c:pt idx="0">
                  <c:v>Led 2</c:v>
                </c:pt>
                <c:pt idx="1">
                  <c:v>Led 3</c:v>
                </c:pt>
                <c:pt idx="2">
                  <c:v>Led 4</c:v>
                </c:pt>
                <c:pt idx="3">
                  <c:v>Led 5</c:v>
                </c:pt>
              </c:strCache>
            </c:strRef>
          </c:cat>
          <c:val>
            <c:numRef>
              <c:f>Simulering!$S$68:$S$71</c:f>
              <c:numCache>
                <c:formatCode>#,##0_ ;\-#,##0\ </c:formatCode>
                <c:ptCount val="4"/>
                <c:pt idx="0">
                  <c:v>-508.69999999999982</c:v>
                </c:pt>
                <c:pt idx="1">
                  <c:v>-511.94999999999982</c:v>
                </c:pt>
                <c:pt idx="2">
                  <c:v>-682.59999999999991</c:v>
                </c:pt>
                <c:pt idx="3">
                  <c:v>-1260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6-4724-95F7-195A1E15D893}"/>
            </c:ext>
          </c:extLst>
        </c:ser>
        <c:ser>
          <c:idx val="4"/>
          <c:order val="6"/>
          <c:tx>
            <c:strRef>
              <c:f>Simulering!$I$73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Simulering!$P$68:$P$71</c:f>
              <c:strCache>
                <c:ptCount val="4"/>
                <c:pt idx="0">
                  <c:v>Led 2</c:v>
                </c:pt>
                <c:pt idx="1">
                  <c:v>Led 3</c:v>
                </c:pt>
                <c:pt idx="2">
                  <c:v>Led 4</c:v>
                </c:pt>
                <c:pt idx="3">
                  <c:v>Led 5</c:v>
                </c:pt>
              </c:strCache>
            </c:strRef>
          </c:cat>
          <c:val>
            <c:numRef>
              <c:f>Simulering!$I$74:$I$77</c:f>
            </c:numRef>
          </c:val>
          <c:extLst>
            <c:ext xmlns:c16="http://schemas.microsoft.com/office/drawing/2014/chart" uri="{C3380CC4-5D6E-409C-BE32-E72D297353CC}">
              <c16:uniqueId val="{00000006-0FE6-4724-95F7-195A1E15D893}"/>
            </c:ext>
          </c:extLst>
        </c:ser>
        <c:ser>
          <c:idx val="5"/>
          <c:order val="7"/>
          <c:tx>
            <c:strRef>
              <c:f>Simulering!$T$65</c:f>
              <c:strCache>
                <c:ptCount val="1"/>
                <c:pt idx="0">
                  <c:v> Brødhvede JB5&amp;6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Simulering!$P$68:$P$71</c:f>
              <c:strCache>
                <c:ptCount val="4"/>
                <c:pt idx="0">
                  <c:v>Led 2</c:v>
                </c:pt>
                <c:pt idx="1">
                  <c:v>Led 3</c:v>
                </c:pt>
                <c:pt idx="2">
                  <c:v>Led 4</c:v>
                </c:pt>
                <c:pt idx="3">
                  <c:v>Led 5</c:v>
                </c:pt>
              </c:strCache>
            </c:strRef>
          </c:cat>
          <c:val>
            <c:numRef>
              <c:f>Simulering!$T$68:$T$71</c:f>
              <c:numCache>
                <c:formatCode>#,##0_ ;\-#,##0\ </c:formatCode>
                <c:ptCount val="4"/>
                <c:pt idx="0">
                  <c:v>-412.55000000000018</c:v>
                </c:pt>
                <c:pt idx="1">
                  <c:v>-433.65000000000055</c:v>
                </c:pt>
                <c:pt idx="2">
                  <c:v>-507.10000000000036</c:v>
                </c:pt>
                <c:pt idx="3">
                  <c:v>-1229.25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E6-4724-95F7-195A1E15D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991776"/>
        <c:axId val="897992192"/>
        <c:extLst>
          <c:ext xmlns:c15="http://schemas.microsoft.com/office/drawing/2012/chart" uri="{02D57815-91ED-43cb-92C2-25804820EDAC}">
            <c15:filteredBarSeries>
              <c15:ser>
                <c:idx val="6"/>
                <c:order val="2"/>
                <c:tx>
                  <c:strRef>
                    <c:extLst>
                      <c:ext uri="{02D57815-91ED-43cb-92C2-25804820EDAC}">
                        <c15:formulaRef>
                          <c15:sqref>Simulering!$E$73</c15:sqref>
                        </c15:formulaRef>
                      </c:ext>
                    </c:extLst>
                    <c:strCache>
                      <c:ptCount val="1"/>
                      <c:pt idx="0">
                        <c:v>Brødhvede gulrust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Simulering!$P$68:$P$71</c15:sqref>
                        </c15:formulaRef>
                      </c:ext>
                    </c:extLst>
                    <c:strCache>
                      <c:ptCount val="4"/>
                      <c:pt idx="0">
                        <c:v>Led 2</c:v>
                      </c:pt>
                      <c:pt idx="1">
                        <c:v>Led 3</c:v>
                      </c:pt>
                      <c:pt idx="2">
                        <c:v>Led 4</c:v>
                      </c:pt>
                      <c:pt idx="3">
                        <c:v>Led 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Simulering!$E$74:$E$77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2519.8000000000002</c:v>
                      </c:pt>
                      <c:pt idx="1">
                        <c:v>2596.0500000000002</c:v>
                      </c:pt>
                      <c:pt idx="2">
                        <c:v>2307.4</c:v>
                      </c:pt>
                      <c:pt idx="3">
                        <c:v>1856.5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FE6-4724-95F7-195A1E15D89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Simulering!$F$73</c15:sqref>
                        </c15:formulaRef>
                      </c:ext>
                    </c:extLst>
                    <c:strCache>
                      <c:ptCount val="1"/>
                      <c:pt idx="0">
                        <c:v>Brødrug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Simulering!$P$68:$P$71</c15:sqref>
                        </c15:formulaRef>
                      </c:ext>
                    </c:extLst>
                    <c:strCache>
                      <c:ptCount val="4"/>
                      <c:pt idx="0">
                        <c:v>Led 2</c:v>
                      </c:pt>
                      <c:pt idx="1">
                        <c:v>Led 3</c:v>
                      </c:pt>
                      <c:pt idx="2">
                        <c:v>Led 4</c:v>
                      </c:pt>
                      <c:pt idx="3">
                        <c:v>Led 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Simulering!$F$74:$F$77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-148.46153846153902</c:v>
                      </c:pt>
                      <c:pt idx="1">
                        <c:v>-343.38461538461343</c:v>
                      </c:pt>
                      <c:pt idx="2">
                        <c:v>-481.38461538461343</c:v>
                      </c:pt>
                      <c:pt idx="3">
                        <c:v>-459.67692307692369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FE6-4724-95F7-195A1E15D893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Simulering!$G$73</c15:sqref>
                        </c15:formulaRef>
                      </c:ext>
                    </c:extLst>
                    <c:strCache>
                      <c:ptCount val="1"/>
                      <c:pt idx="0">
                        <c:v>Maltbyg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Simulering!$P$68:$P$71</c15:sqref>
                        </c15:formulaRef>
                      </c:ext>
                    </c:extLst>
                    <c:strCache>
                      <c:ptCount val="4"/>
                      <c:pt idx="0">
                        <c:v>Led 2</c:v>
                      </c:pt>
                      <c:pt idx="1">
                        <c:v>Led 3</c:v>
                      </c:pt>
                      <c:pt idx="2">
                        <c:v>Led 4</c:v>
                      </c:pt>
                      <c:pt idx="3">
                        <c:v>Led 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Simulering!$G$74:$G$77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-187.83955223880548</c:v>
                      </c:pt>
                      <c:pt idx="1">
                        <c:v>-373.05970149253699</c:v>
                      </c:pt>
                      <c:pt idx="2">
                        <c:v>-642.82835820895434</c:v>
                      </c:pt>
                      <c:pt idx="3">
                        <c:v>-968.83955223880548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FE6-4724-95F7-195A1E15D893}"/>
                  </c:ext>
                </c:extLst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Simulering!$H$73</c15:sqref>
                        </c15:formulaRef>
                      </c:ext>
                    </c:extLst>
                    <c:strCache>
                      <c:ptCount val="1"/>
                      <c:pt idx="0">
                        <c:v>Grynhavre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Simulering!$P$68:$P$71</c15:sqref>
                        </c15:formulaRef>
                      </c:ext>
                    </c:extLst>
                    <c:strCache>
                      <c:ptCount val="4"/>
                      <c:pt idx="0">
                        <c:v>Led 2</c:v>
                      </c:pt>
                      <c:pt idx="1">
                        <c:v>Led 3</c:v>
                      </c:pt>
                      <c:pt idx="2">
                        <c:v>Led 4</c:v>
                      </c:pt>
                      <c:pt idx="3">
                        <c:v>Led 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Simulering!$H$74:$H$77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-267.19999999999982</c:v>
                      </c:pt>
                      <c:pt idx="1">
                        <c:v>-233.25</c:v>
                      </c:pt>
                      <c:pt idx="2">
                        <c:v>-387.75</c:v>
                      </c:pt>
                      <c:pt idx="3">
                        <c:v>-1386.1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FE6-4724-95F7-195A1E15D893}"/>
                  </c:ext>
                </c:extLst>
              </c15:ser>
            </c15:filteredBarSeries>
          </c:ext>
        </c:extLst>
      </c:barChart>
      <c:catAx>
        <c:axId val="8979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2192"/>
        <c:crosses val="autoZero"/>
        <c:auto val="1"/>
        <c:lblAlgn val="ctr"/>
        <c:lblOffset val="100"/>
        <c:noMultiLvlLbl val="0"/>
      </c:catAx>
      <c:valAx>
        <c:axId val="897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+/- DB i led 3 efter maskin- og arbejdsomk. ift. led 2 (kr. pr. ha)</a:t>
            </a:r>
            <a:endParaRPr lang="da-DK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3189564940746044"/>
          <c:y val="0.21583543408587139"/>
          <c:w val="0.74078103873379464"/>
          <c:h val="0.62783175558804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Simulering!$C$73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Simulering!$C$74:$C$77</c:f>
            </c:numRef>
          </c:val>
          <c:extLst>
            <c:ext xmlns:c16="http://schemas.microsoft.com/office/drawing/2014/chart" uri="{C3380CC4-5D6E-409C-BE32-E72D297353CC}">
              <c16:uniqueId val="{00000000-C743-468E-8820-AEC9B0265307}"/>
            </c:ext>
          </c:extLst>
        </c:ser>
        <c:ser>
          <c:idx val="1"/>
          <c:order val="1"/>
          <c:tx>
            <c:strRef>
              <c:f>Simulering!$Q$79</c:f>
              <c:strCache>
                <c:ptCount val="1"/>
                <c:pt idx="0">
                  <c:v> Brødhvede JB2&amp;4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Simulering!$Q$80</c:f>
              <c:numCache>
                <c:formatCode>#,##0_ ;\-#,##0\ </c:formatCode>
                <c:ptCount val="1"/>
                <c:pt idx="0">
                  <c:v>-3.25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3-468E-8820-AEC9B0265307}"/>
            </c:ext>
          </c:extLst>
        </c:ser>
        <c:ser>
          <c:idx val="4"/>
          <c:order val="6"/>
          <c:tx>
            <c:strRef>
              <c:f>Simulering!$I$73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Simulering!$I$74:$I$77</c:f>
            </c:numRef>
          </c:val>
          <c:extLst>
            <c:ext xmlns:c16="http://schemas.microsoft.com/office/drawing/2014/chart" uri="{C3380CC4-5D6E-409C-BE32-E72D297353CC}">
              <c16:uniqueId val="{00000002-C743-468E-8820-AEC9B0265307}"/>
            </c:ext>
          </c:extLst>
        </c:ser>
        <c:ser>
          <c:idx val="5"/>
          <c:order val="7"/>
          <c:tx>
            <c:strRef>
              <c:f>Simulering!$R$79</c:f>
              <c:strCache>
                <c:ptCount val="1"/>
                <c:pt idx="0">
                  <c:v> Brødhvede JB5&amp;6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Simulering!$R$80</c:f>
              <c:numCache>
                <c:formatCode>#,##0_ ;\-#,##0\ </c:formatCode>
                <c:ptCount val="1"/>
                <c:pt idx="0">
                  <c:v>-21.100000000000364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43-468E-8820-AEC9B0265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991776"/>
        <c:axId val="897992192"/>
        <c:extLst>
          <c:ext xmlns:c15="http://schemas.microsoft.com/office/drawing/2012/chart" uri="{02D57815-91ED-43cb-92C2-25804820EDAC}">
            <c15:filteredBarSeries>
              <c15:ser>
                <c:idx val="6"/>
                <c:order val="2"/>
                <c:tx>
                  <c:strRef>
                    <c:extLst>
                      <c:ext uri="{02D57815-91ED-43cb-92C2-25804820EDAC}">
                        <c15:formulaRef>
                          <c15:sqref>Simulering!$E$73</c15:sqref>
                        </c15:formulaRef>
                      </c:ext>
                    </c:extLst>
                    <c:strCache>
                      <c:ptCount val="1"/>
                      <c:pt idx="0">
                        <c:v>Brødhvede gulrust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Simulering!$E$74:$E$77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2519.8000000000002</c:v>
                      </c:pt>
                      <c:pt idx="1">
                        <c:v>2596.0500000000002</c:v>
                      </c:pt>
                      <c:pt idx="2">
                        <c:v>2307.4</c:v>
                      </c:pt>
                      <c:pt idx="3">
                        <c:v>1856.5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743-468E-8820-AEC9B0265307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Simulering!$F$73</c15:sqref>
                        </c15:formulaRef>
                      </c:ext>
                    </c:extLst>
                    <c:strCache>
                      <c:ptCount val="1"/>
                      <c:pt idx="0">
                        <c:v>Brødrug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Simulering!$F$74:$F$77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-148.46153846153902</c:v>
                      </c:pt>
                      <c:pt idx="1">
                        <c:v>-343.38461538461343</c:v>
                      </c:pt>
                      <c:pt idx="2">
                        <c:v>-481.38461538461343</c:v>
                      </c:pt>
                      <c:pt idx="3">
                        <c:v>-459.67692307692369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743-468E-8820-AEC9B0265307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Simulering!$G$73</c15:sqref>
                        </c15:formulaRef>
                      </c:ext>
                    </c:extLst>
                    <c:strCache>
                      <c:ptCount val="1"/>
                      <c:pt idx="0">
                        <c:v>Maltbyg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Simulering!$G$74:$G$77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-187.83955223880548</c:v>
                      </c:pt>
                      <c:pt idx="1">
                        <c:v>-373.05970149253699</c:v>
                      </c:pt>
                      <c:pt idx="2">
                        <c:v>-642.82835820895434</c:v>
                      </c:pt>
                      <c:pt idx="3">
                        <c:v>-968.83955223880548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743-468E-8820-AEC9B0265307}"/>
                  </c:ext>
                </c:extLst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Simulering!$H$73</c15:sqref>
                        </c15:formulaRef>
                      </c:ext>
                    </c:extLst>
                    <c:strCache>
                      <c:ptCount val="1"/>
                      <c:pt idx="0">
                        <c:v>Grynhavre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Simulering!$H$74:$H$77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-267.19999999999982</c:v>
                      </c:pt>
                      <c:pt idx="1">
                        <c:v>-233.25</c:v>
                      </c:pt>
                      <c:pt idx="2">
                        <c:v>-387.75</c:v>
                      </c:pt>
                      <c:pt idx="3">
                        <c:v>-1386.1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743-468E-8820-AEC9B0265307}"/>
                  </c:ext>
                </c:extLst>
              </c15:ser>
            </c15:filteredBarSeries>
          </c:ext>
        </c:extLst>
      </c:barChart>
      <c:catAx>
        <c:axId val="8979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2192"/>
        <c:crosses val="autoZero"/>
        <c:auto val="1"/>
        <c:lblAlgn val="ctr"/>
        <c:lblOffset val="100"/>
        <c:noMultiLvlLbl val="0"/>
      </c:catAx>
      <c:valAx>
        <c:axId val="897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+/- salgspris for at opnå DB2 i led 3 som i led 2 (kr. pr. hkg)</a:t>
            </a:r>
            <a:endParaRPr lang="da-DK" sz="1100">
              <a:effectLst/>
            </a:endParaRPr>
          </a:p>
        </c:rich>
      </c:tx>
      <c:layout>
        <c:manualLayout>
          <c:xMode val="edge"/>
          <c:yMode val="edge"/>
          <c:x val="0.11673705559532332"/>
          <c:y val="1.5458941902374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3189564940746044"/>
          <c:y val="0.19264702123230895"/>
          <c:w val="0.74078103873379464"/>
          <c:h val="0.65102016844160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Simulering!$C$73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Simulering!$C$74:$C$77</c:f>
            </c:numRef>
          </c:val>
          <c:extLst>
            <c:ext xmlns:c16="http://schemas.microsoft.com/office/drawing/2014/chart" uri="{C3380CC4-5D6E-409C-BE32-E72D297353CC}">
              <c16:uniqueId val="{00000000-A123-4DCC-98ED-AF8A25EE85F4}"/>
            </c:ext>
          </c:extLst>
        </c:ser>
        <c:ser>
          <c:idx val="1"/>
          <c:order val="1"/>
          <c:tx>
            <c:strRef>
              <c:f>Simulering!$S$79</c:f>
              <c:strCache>
                <c:ptCount val="1"/>
                <c:pt idx="0">
                  <c:v> Brødhvede JB2&amp;4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Simulering!$S$80</c:f>
              <c:numCache>
                <c:formatCode>#,##0.0_ ;\-#,##0.0\ </c:formatCode>
                <c:ptCount val="1"/>
                <c:pt idx="0">
                  <c:v>4.4899043570648299E-2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3-4DCC-98ED-AF8A25EE85F4}"/>
            </c:ext>
          </c:extLst>
        </c:ser>
        <c:ser>
          <c:idx val="4"/>
          <c:order val="6"/>
          <c:tx>
            <c:strRef>
              <c:f>Simulering!$I$73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Simulering!$I$74:$I$77</c:f>
            </c:numRef>
          </c:val>
          <c:extLst>
            <c:ext xmlns:c16="http://schemas.microsoft.com/office/drawing/2014/chart" uri="{C3380CC4-5D6E-409C-BE32-E72D297353CC}">
              <c16:uniqueId val="{00000002-A123-4DCC-98ED-AF8A25EE85F4}"/>
            </c:ext>
          </c:extLst>
        </c:ser>
        <c:ser>
          <c:idx val="5"/>
          <c:order val="7"/>
          <c:tx>
            <c:strRef>
              <c:f>Simulering!$T$79</c:f>
              <c:strCache>
                <c:ptCount val="1"/>
                <c:pt idx="0">
                  <c:v> Brødhvede JB5&amp;6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Simulering!$P$80</c:f>
              <c:strCache>
                <c:ptCount val="1"/>
                <c:pt idx="0">
                  <c:v>Led 2 og 3</c:v>
                </c:pt>
              </c:strCache>
            </c:strRef>
          </c:cat>
          <c:val>
            <c:numRef>
              <c:f>Simulering!$T$80</c:f>
              <c:numCache>
                <c:formatCode>#,##0.0_ ;\-#,##0.0\ </c:formatCode>
                <c:ptCount val="1"/>
                <c:pt idx="0">
                  <c:v>0.22422954303931952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3-4DCC-98ED-AF8A25EE8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991776"/>
        <c:axId val="897992192"/>
        <c:extLst>
          <c:ext xmlns:c15="http://schemas.microsoft.com/office/drawing/2012/chart" uri="{02D57815-91ED-43cb-92C2-25804820EDAC}">
            <c15:filteredBarSeries>
              <c15:ser>
                <c:idx val="6"/>
                <c:order val="2"/>
                <c:tx>
                  <c:strRef>
                    <c:extLst>
                      <c:ext uri="{02D57815-91ED-43cb-92C2-25804820EDAC}">
                        <c15:formulaRef>
                          <c15:sqref>Simulering!$E$73</c15:sqref>
                        </c15:formulaRef>
                      </c:ext>
                    </c:extLst>
                    <c:strCache>
                      <c:ptCount val="1"/>
                      <c:pt idx="0">
                        <c:v>Brødhvede gulrust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Simulering!$E$74:$E$77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2519.8000000000002</c:v>
                      </c:pt>
                      <c:pt idx="1">
                        <c:v>2596.0500000000002</c:v>
                      </c:pt>
                      <c:pt idx="2">
                        <c:v>2307.4</c:v>
                      </c:pt>
                      <c:pt idx="3">
                        <c:v>1856.5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123-4DCC-98ED-AF8A25EE85F4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Simulering!$F$73</c15:sqref>
                        </c15:formulaRef>
                      </c:ext>
                    </c:extLst>
                    <c:strCache>
                      <c:ptCount val="1"/>
                      <c:pt idx="0">
                        <c:v>Brødrug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Simulering!$F$74:$F$77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-148.46153846153902</c:v>
                      </c:pt>
                      <c:pt idx="1">
                        <c:v>-343.38461538461343</c:v>
                      </c:pt>
                      <c:pt idx="2">
                        <c:v>-481.38461538461343</c:v>
                      </c:pt>
                      <c:pt idx="3">
                        <c:v>-459.67692307692369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123-4DCC-98ED-AF8A25EE85F4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Simulering!$G$73</c15:sqref>
                        </c15:formulaRef>
                      </c:ext>
                    </c:extLst>
                    <c:strCache>
                      <c:ptCount val="1"/>
                      <c:pt idx="0">
                        <c:v>Maltbyg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Simulering!$G$74:$G$77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-187.83955223880548</c:v>
                      </c:pt>
                      <c:pt idx="1">
                        <c:v>-373.05970149253699</c:v>
                      </c:pt>
                      <c:pt idx="2">
                        <c:v>-642.82835820895434</c:v>
                      </c:pt>
                      <c:pt idx="3">
                        <c:v>-968.83955223880548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23-4DCC-98ED-AF8A25EE85F4}"/>
                  </c:ext>
                </c:extLst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Simulering!$H$73</c15:sqref>
                        </c15:formulaRef>
                      </c:ext>
                    </c:extLst>
                    <c:strCache>
                      <c:ptCount val="1"/>
                      <c:pt idx="0">
                        <c:v>Grynhavre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Simulering!$P$80</c15:sqref>
                        </c15:formulaRef>
                      </c:ext>
                    </c:extLst>
                    <c:strCache>
                      <c:ptCount val="1"/>
                      <c:pt idx="0">
                        <c:v>Led 2 og 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Simulering!$H$74:$H$77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-267.19999999999982</c:v>
                      </c:pt>
                      <c:pt idx="1">
                        <c:v>-233.25</c:v>
                      </c:pt>
                      <c:pt idx="2">
                        <c:v>-387.75</c:v>
                      </c:pt>
                      <c:pt idx="3">
                        <c:v>-1386.1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123-4DCC-98ED-AF8A25EE85F4}"/>
                  </c:ext>
                </c:extLst>
              </c15:ser>
            </c15:filteredBarSeries>
          </c:ext>
        </c:extLst>
      </c:barChart>
      <c:catAx>
        <c:axId val="8979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2192"/>
        <c:crosses val="autoZero"/>
        <c:auto val="1"/>
        <c:lblAlgn val="ctr"/>
        <c:lblOffset val="100"/>
        <c:noMultiLvlLbl val="0"/>
      </c:catAx>
      <c:valAx>
        <c:axId val="897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DB efter maskin- og arbejdsomk. JB5&amp;6</a:t>
            </a:r>
            <a:endParaRPr lang="da-DK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7799595115543962"/>
          <c:y val="0.13467592592592595"/>
          <c:w val="0.7996370437897018"/>
          <c:h val="0.70737011240878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Simulering!$I$65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Simulering!$I$66:$I$71</c:f>
            </c:numRef>
          </c:val>
          <c:extLst>
            <c:ext xmlns:c16="http://schemas.microsoft.com/office/drawing/2014/chart" uri="{C3380CC4-5D6E-409C-BE32-E72D297353CC}">
              <c16:uniqueId val="{00000000-D7EC-4309-B2F0-18FFF02DE911}"/>
            </c:ext>
          </c:extLst>
        </c:ser>
        <c:ser>
          <c:idx val="1"/>
          <c:order val="1"/>
          <c:tx>
            <c:strRef>
              <c:f>Simulering!$J$73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Simulering!$J$66:$J$71</c:f>
              <c:numCache>
                <c:formatCode>#,##0_ ;\-#,##0\ </c:formatCode>
                <c:ptCount val="6"/>
                <c:pt idx="0">
                  <c:v>4372</c:v>
                </c:pt>
                <c:pt idx="1">
                  <c:v>5475.7000000000007</c:v>
                </c:pt>
                <c:pt idx="2">
                  <c:v>5063.1500000000005</c:v>
                </c:pt>
                <c:pt idx="3">
                  <c:v>5042.05</c:v>
                </c:pt>
                <c:pt idx="4">
                  <c:v>4968.6000000000004</c:v>
                </c:pt>
                <c:pt idx="5">
                  <c:v>4246.4500000000007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C-4309-B2F0-18FFF02DE911}"/>
            </c:ext>
          </c:extLst>
        </c:ser>
        <c:ser>
          <c:idx val="2"/>
          <c:order val="2"/>
          <c:tx>
            <c:strRef>
              <c:f>Simulering!$K$65</c:f>
              <c:strCache>
                <c:ptCount val="1"/>
                <c:pt idx="0">
                  <c:v>Brødhvede gulrust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Simulering!$K$66:$K$71</c:f>
              <c:numCache>
                <c:formatCode>#,##0_ ;\-#,##0\ </c:formatCode>
                <c:ptCount val="6"/>
                <c:pt idx="0">
                  <c:v>4372</c:v>
                </c:pt>
                <c:pt idx="1">
                  <c:v>-950.19999999999982</c:v>
                </c:pt>
                <c:pt idx="2">
                  <c:v>2574.3000000000002</c:v>
                </c:pt>
                <c:pt idx="3">
                  <c:v>2656.55</c:v>
                </c:pt>
                <c:pt idx="4">
                  <c:v>2429.6999999999994</c:v>
                </c:pt>
                <c:pt idx="5">
                  <c:v>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C-4309-B2F0-18FFF02DE911}"/>
            </c:ext>
          </c:extLst>
        </c:ser>
        <c:ser>
          <c:idx val="3"/>
          <c:order val="3"/>
          <c:tx>
            <c:strRef>
              <c:f>Simulering!$L$65</c:f>
              <c:strCache>
                <c:ptCount val="1"/>
                <c:pt idx="0">
                  <c:v>Brødrug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Simulering!$L$66:$L$71</c:f>
              <c:numCache>
                <c:formatCode>#,##0_ ;\-#,##0\ </c:formatCode>
                <c:ptCount val="6"/>
                <c:pt idx="0">
                  <c:v>4474.5</c:v>
                </c:pt>
                <c:pt idx="1">
                  <c:v>3096.7000000000007</c:v>
                </c:pt>
                <c:pt idx="2">
                  <c:v>2966.7000000000007</c:v>
                </c:pt>
                <c:pt idx="3">
                  <c:v>2784.7000000000007</c:v>
                </c:pt>
                <c:pt idx="4">
                  <c:v>2646.7000000000007</c:v>
                </c:pt>
                <c:pt idx="5">
                  <c:v>2672.1000000000008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C-4309-B2F0-18FFF02DE911}"/>
            </c:ext>
          </c:extLst>
        </c:ser>
        <c:ser>
          <c:idx val="4"/>
          <c:order val="4"/>
          <c:tx>
            <c:strRef>
              <c:f>Simulering!$M$65</c:f>
              <c:strCache>
                <c:ptCount val="1"/>
                <c:pt idx="0">
                  <c:v>Maltbyg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Simulering!$M$66:$M$71</c:f>
              <c:numCache>
                <c:formatCode>#,##0_ ;\-#,##0\ </c:formatCode>
                <c:ptCount val="6"/>
                <c:pt idx="0">
                  <c:v>2336.9999999999982</c:v>
                </c:pt>
                <c:pt idx="1">
                  <c:v>2902.7999999999993</c:v>
                </c:pt>
                <c:pt idx="2">
                  <c:v>2787.0499999999993</c:v>
                </c:pt>
                <c:pt idx="3">
                  <c:v>2577.7999999999993</c:v>
                </c:pt>
                <c:pt idx="4">
                  <c:v>2363.2999999999993</c:v>
                </c:pt>
                <c:pt idx="5">
                  <c:v>2006.0499999999993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D-41DB-8C1B-62264912C4FC}"/>
            </c:ext>
          </c:extLst>
        </c:ser>
        <c:ser>
          <c:idx val="5"/>
          <c:order val="5"/>
          <c:tx>
            <c:strRef>
              <c:f>Simulering!$N$65</c:f>
              <c:strCache>
                <c:ptCount val="1"/>
                <c:pt idx="0">
                  <c:v>Grynhavre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Simulering!$N$66:$N$71</c:f>
              <c:numCache>
                <c:formatCode>#,##0_ ;\-#,##0\ </c:formatCode>
                <c:ptCount val="6"/>
                <c:pt idx="0">
                  <c:v>1707</c:v>
                </c:pt>
                <c:pt idx="1">
                  <c:v>3514.375</c:v>
                </c:pt>
                <c:pt idx="2">
                  <c:v>3235.1750000000002</c:v>
                </c:pt>
                <c:pt idx="3">
                  <c:v>3278.125</c:v>
                </c:pt>
                <c:pt idx="4">
                  <c:v>3143.125</c:v>
                </c:pt>
                <c:pt idx="5">
                  <c:v>2044.2750000000001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D-41DB-8C1B-62264912C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991776"/>
        <c:axId val="897992192"/>
      </c:barChart>
      <c:catAx>
        <c:axId val="8979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2192"/>
        <c:crosses val="autoZero"/>
        <c:auto val="1"/>
        <c:lblAlgn val="ctr"/>
        <c:lblOffset val="100"/>
        <c:noMultiLvlLbl val="0"/>
      </c:catAx>
      <c:valAx>
        <c:axId val="897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100"/>
                  <a:t>Kr. pr. ha</a:t>
                </a:r>
              </a:p>
            </c:rich>
          </c:tx>
          <c:layout>
            <c:manualLayout>
              <c:xMode val="edge"/>
              <c:yMode val="edge"/>
              <c:x val="4.1288003656751691E-3"/>
              <c:y val="0.44509155153269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79293933615721"/>
          <c:y val="0.86593355699534558"/>
          <c:w val="0.75176922693544346"/>
          <c:h val="0.11471840092748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 DB efter</a:t>
            </a:r>
            <a:r>
              <a:rPr lang="en-US" baseline="0"/>
              <a:t> maskin- og arbejdsomk. ift. led 1, JB2&amp;4</a:t>
            </a:r>
            <a:endParaRPr lang="en-US"/>
          </a:p>
        </c:rich>
      </c:tx>
      <c:layout>
        <c:manualLayout>
          <c:xMode val="edge"/>
          <c:yMode val="edge"/>
          <c:x val="0.19059156067030084"/>
          <c:y val="1.554317269199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08182159048301"/>
          <c:y val="0.17171296296296296"/>
          <c:w val="0.78862623990183056"/>
          <c:h val="0.56193250591436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Simulering!$B$74</c:f>
              <c:strCache>
                <c:ptCount val="1"/>
                <c:pt idx="0">
                  <c:v>Led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Simulering!$C$73:$H$73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Simulering!$C$74:$H$74</c:f>
              <c:numCache>
                <c:formatCode>#,##0_ ;\-#,##0\ </c:formatCode>
                <c:ptCount val="5"/>
                <c:pt idx="0">
                  <c:v>-508.69999999999982</c:v>
                </c:pt>
                <c:pt idx="1">
                  <c:v>2519.8000000000002</c:v>
                </c:pt>
                <c:pt idx="2">
                  <c:v>-148.46153846153902</c:v>
                </c:pt>
                <c:pt idx="3">
                  <c:v>-187.83955223880548</c:v>
                </c:pt>
                <c:pt idx="4">
                  <c:v>-267.19999999999982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C-4136-BF69-6D4E842F3AFA}"/>
            </c:ext>
          </c:extLst>
        </c:ser>
        <c:ser>
          <c:idx val="1"/>
          <c:order val="1"/>
          <c:tx>
            <c:strRef>
              <c:f>Simulering!$B$75</c:f>
              <c:strCache>
                <c:ptCount val="1"/>
                <c:pt idx="0">
                  <c:v>Led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Simulering!$C$73:$H$73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Simulering!$C$75:$H$75</c:f>
              <c:numCache>
                <c:formatCode>#,##0_ ;\-#,##0\ </c:formatCode>
                <c:ptCount val="5"/>
                <c:pt idx="0">
                  <c:v>-511.94999999999982</c:v>
                </c:pt>
                <c:pt idx="1">
                  <c:v>2596.0500000000002</c:v>
                </c:pt>
                <c:pt idx="2">
                  <c:v>-343.38461538461343</c:v>
                </c:pt>
                <c:pt idx="3">
                  <c:v>-373.05970149253699</c:v>
                </c:pt>
                <c:pt idx="4">
                  <c:v>-233.25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EC-4136-BF69-6D4E842F3AFA}"/>
            </c:ext>
          </c:extLst>
        </c:ser>
        <c:ser>
          <c:idx val="2"/>
          <c:order val="2"/>
          <c:tx>
            <c:strRef>
              <c:f>Simulering!$B$76</c:f>
              <c:strCache>
                <c:ptCount val="1"/>
                <c:pt idx="0">
                  <c:v>Led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Simulering!$C$73:$H$73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Simulering!$C$76:$H$76</c:f>
              <c:numCache>
                <c:formatCode>#,##0_ ;\-#,##0\ </c:formatCode>
                <c:ptCount val="5"/>
                <c:pt idx="0">
                  <c:v>-682.59999999999991</c:v>
                </c:pt>
                <c:pt idx="1">
                  <c:v>2307.4</c:v>
                </c:pt>
                <c:pt idx="2">
                  <c:v>-481.38461538461343</c:v>
                </c:pt>
                <c:pt idx="3">
                  <c:v>-642.82835820895434</c:v>
                </c:pt>
                <c:pt idx="4">
                  <c:v>-387.75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EC-4136-BF69-6D4E842F3AFA}"/>
            </c:ext>
          </c:extLst>
        </c:ser>
        <c:ser>
          <c:idx val="3"/>
          <c:order val="3"/>
          <c:tx>
            <c:strRef>
              <c:f>Simulering!$B$77</c:f>
              <c:strCache>
                <c:ptCount val="1"/>
                <c:pt idx="0">
                  <c:v>Led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Simulering!$C$73:$H$73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Simulering!$C$77:$H$77</c:f>
              <c:numCache>
                <c:formatCode>#,##0_ ;\-#,##0\ </c:formatCode>
                <c:ptCount val="5"/>
                <c:pt idx="0">
                  <c:v>-1260</c:v>
                </c:pt>
                <c:pt idx="1">
                  <c:v>1856.5</c:v>
                </c:pt>
                <c:pt idx="2">
                  <c:v>-459.67692307692369</c:v>
                </c:pt>
                <c:pt idx="3">
                  <c:v>-968.83955223880548</c:v>
                </c:pt>
                <c:pt idx="4">
                  <c:v>-1386.1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EC-4136-BF69-6D4E842F3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77176225752844"/>
          <c:y val="0.91888360856171802"/>
          <c:w val="0.55813694885772414"/>
          <c:h val="6.5573218746290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 Mer-DB efter</a:t>
            </a:r>
            <a:r>
              <a:rPr lang="en-US" baseline="0"/>
              <a:t> maskin- og arbejdsomk.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7042847769028871"/>
          <c:y val="0.17171296296296296"/>
          <c:w val="0.79901596675415576"/>
          <c:h val="0.70632961367167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Simulering!$B$74</c:f>
              <c:strCache>
                <c:ptCount val="1"/>
                <c:pt idx="0">
                  <c:v>Led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Simulering!$C$73:$H$73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Simulering!$C$74:$H$74</c:f>
              <c:numCache>
                <c:formatCode>#,##0_ ;\-#,##0\ </c:formatCode>
                <c:ptCount val="5"/>
                <c:pt idx="0">
                  <c:v>-508.69999999999982</c:v>
                </c:pt>
                <c:pt idx="1">
                  <c:v>2519.8000000000002</c:v>
                </c:pt>
                <c:pt idx="2">
                  <c:v>-148.46153846153902</c:v>
                </c:pt>
                <c:pt idx="3">
                  <c:v>-187.83955223880548</c:v>
                </c:pt>
                <c:pt idx="4">
                  <c:v>-267.19999999999982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1-4DF0-8124-27B610669C33}"/>
            </c:ext>
          </c:extLst>
        </c:ser>
        <c:ser>
          <c:idx val="1"/>
          <c:order val="1"/>
          <c:tx>
            <c:strRef>
              <c:f>Simulering!$B$75</c:f>
              <c:strCache>
                <c:ptCount val="1"/>
                <c:pt idx="0">
                  <c:v>Led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Simulering!$C$73:$H$73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Simulering!$C$75:$H$75</c:f>
              <c:numCache>
                <c:formatCode>#,##0_ ;\-#,##0\ </c:formatCode>
                <c:ptCount val="5"/>
                <c:pt idx="0">
                  <c:v>-511.94999999999982</c:v>
                </c:pt>
                <c:pt idx="1">
                  <c:v>2596.0500000000002</c:v>
                </c:pt>
                <c:pt idx="2">
                  <c:v>-343.38461538461343</c:v>
                </c:pt>
                <c:pt idx="3">
                  <c:v>-373.05970149253699</c:v>
                </c:pt>
                <c:pt idx="4">
                  <c:v>-233.25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1-4DF0-8124-27B610669C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Simulering!$B$76</c15:sqref>
                        </c15:formulaRef>
                      </c:ext>
                    </c:extLst>
                    <c:strCache>
                      <c:ptCount val="1"/>
                      <c:pt idx="0">
                        <c:v>Led 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a-DK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Simulering!$C$73:$H$73</c15:sqref>
                        </c15:formulaRef>
                      </c:ext>
                    </c:extLst>
                    <c:strCache>
                      <c:ptCount val="5"/>
                      <c:pt idx="0">
                        <c:v>Brødhvede</c:v>
                      </c:pt>
                      <c:pt idx="1">
                        <c:v>Brødhvede gulrust</c:v>
                      </c:pt>
                      <c:pt idx="2">
                        <c:v>Brødrug</c:v>
                      </c:pt>
                      <c:pt idx="3">
                        <c:v>Maltbyg</c:v>
                      </c:pt>
                      <c:pt idx="4">
                        <c:v>Grynhavre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Simulering!$C$76:$H$76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-682.59999999999991</c:v>
                      </c:pt>
                      <c:pt idx="1">
                        <c:v>2307.4</c:v>
                      </c:pt>
                      <c:pt idx="2">
                        <c:v>-481.38461538461343</c:v>
                      </c:pt>
                      <c:pt idx="3">
                        <c:v>-642.82835820895434</c:v>
                      </c:pt>
                      <c:pt idx="4">
                        <c:v>-387.75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2E1-4DF0-8124-27B610669C3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Simulering!$B$77</c15:sqref>
                        </c15:formulaRef>
                      </c:ext>
                    </c:extLst>
                    <c:strCache>
                      <c:ptCount val="1"/>
                      <c:pt idx="0">
                        <c:v>Led 5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a-DK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Simulering!$C$73:$H$73</c15:sqref>
                        </c15:formulaRef>
                      </c:ext>
                    </c:extLst>
                    <c:strCache>
                      <c:ptCount val="5"/>
                      <c:pt idx="0">
                        <c:v>Brødhvede</c:v>
                      </c:pt>
                      <c:pt idx="1">
                        <c:v>Brødhvede gulrust</c:v>
                      </c:pt>
                      <c:pt idx="2">
                        <c:v>Brødrug</c:v>
                      </c:pt>
                      <c:pt idx="3">
                        <c:v>Maltbyg</c:v>
                      </c:pt>
                      <c:pt idx="4">
                        <c:v>Grynhavre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Simulering!$C$77:$H$77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-1260</c:v>
                      </c:pt>
                      <c:pt idx="1">
                        <c:v>1856.5</c:v>
                      </c:pt>
                      <c:pt idx="2">
                        <c:v>-459.67692307692369</c:v>
                      </c:pt>
                      <c:pt idx="3">
                        <c:v>-968.83955223880548</c:v>
                      </c:pt>
                      <c:pt idx="4">
                        <c:v>-1386.1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2E1-4DF0-8124-27B610669C33}"/>
                  </c:ext>
                </c:extLst>
              </c15:ser>
            </c15:filteredBarSeries>
          </c:ext>
        </c:extLst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 Mer-DB efter</a:t>
            </a:r>
            <a:r>
              <a:rPr lang="en-US" baseline="0"/>
              <a:t> maskin- og arbejdsomk.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7042847769028871"/>
          <c:y val="0.17171296296296296"/>
          <c:w val="0.79901596675415576"/>
          <c:h val="0.71642599825050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Simulering!$B$74</c:f>
              <c:strCache>
                <c:ptCount val="1"/>
                <c:pt idx="0">
                  <c:v>Led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Simulering!$I$5:$N$5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Simulering!$I$74:$N$74</c:f>
              <c:numCache>
                <c:formatCode>#,##0_ ;\-#,##0\ </c:formatCode>
                <c:ptCount val="5"/>
                <c:pt idx="0">
                  <c:v>-412.55000000000018</c:v>
                </c:pt>
                <c:pt idx="1">
                  <c:v>3524.5</c:v>
                </c:pt>
                <c:pt idx="2">
                  <c:v>-130</c:v>
                </c:pt>
                <c:pt idx="3">
                  <c:v>-115.75</c:v>
                </c:pt>
                <c:pt idx="4">
                  <c:v>-279.19999999999982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4-4ADA-87E7-EEF4B925C63F}"/>
            </c:ext>
          </c:extLst>
        </c:ser>
        <c:ser>
          <c:idx val="1"/>
          <c:order val="1"/>
          <c:tx>
            <c:strRef>
              <c:f>Simulering!$B$75</c:f>
              <c:strCache>
                <c:ptCount val="1"/>
                <c:pt idx="0">
                  <c:v>Led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Simulering!$I$5:$N$5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Simulering!$I$75:$N$75</c:f>
              <c:numCache>
                <c:formatCode>#,##0_ ;\-#,##0\ </c:formatCode>
                <c:ptCount val="5"/>
                <c:pt idx="0">
                  <c:v>-433.65000000000055</c:v>
                </c:pt>
                <c:pt idx="1">
                  <c:v>3606.75</c:v>
                </c:pt>
                <c:pt idx="2">
                  <c:v>-312</c:v>
                </c:pt>
                <c:pt idx="3">
                  <c:v>-325</c:v>
                </c:pt>
                <c:pt idx="4">
                  <c:v>-236.25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4-4ADA-87E7-EEF4B925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Simulering!$B$76</c15:sqref>
                        </c15:formulaRef>
                      </c:ext>
                    </c:extLst>
                    <c:strCache>
                      <c:ptCount val="1"/>
                      <c:pt idx="0">
                        <c:v>Led 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Simulering!$I$5:$N$5</c15:sqref>
                        </c15:formulaRef>
                      </c:ext>
                    </c:extLst>
                    <c:strCache>
                      <c:ptCount val="5"/>
                      <c:pt idx="0">
                        <c:v>Brødhvede</c:v>
                      </c:pt>
                      <c:pt idx="1">
                        <c:v>Brødhvede gulrust</c:v>
                      </c:pt>
                      <c:pt idx="2">
                        <c:v>Brødrug</c:v>
                      </c:pt>
                      <c:pt idx="3">
                        <c:v>Maltbyg</c:v>
                      </c:pt>
                      <c:pt idx="4">
                        <c:v>Grynhavre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Simulering!$I$76:$N$76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-507.10000000000036</c:v>
                      </c:pt>
                      <c:pt idx="1">
                        <c:v>3379.8999999999992</c:v>
                      </c:pt>
                      <c:pt idx="2">
                        <c:v>-450</c:v>
                      </c:pt>
                      <c:pt idx="3">
                        <c:v>-539.5</c:v>
                      </c:pt>
                      <c:pt idx="4">
                        <c:v>-371.25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14-4ADA-87E7-EEF4B925C63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Simulering!$B$77</c15:sqref>
                        </c15:formulaRef>
                      </c:ext>
                    </c:extLst>
                    <c:strCache>
                      <c:ptCount val="1"/>
                      <c:pt idx="0">
                        <c:v>Led 5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Simulering!$I$5:$N$5</c15:sqref>
                        </c15:formulaRef>
                      </c:ext>
                    </c:extLst>
                    <c:strCache>
                      <c:ptCount val="5"/>
                      <c:pt idx="0">
                        <c:v>Brødhvede</c:v>
                      </c:pt>
                      <c:pt idx="1">
                        <c:v>Brødhvede gulrust</c:v>
                      </c:pt>
                      <c:pt idx="2">
                        <c:v>Brødrug</c:v>
                      </c:pt>
                      <c:pt idx="3">
                        <c:v>Maltbyg</c:v>
                      </c:pt>
                      <c:pt idx="4">
                        <c:v>Grynhavre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Simulering!$I$77:$N$77</c15:sqref>
                        </c15:formulaRef>
                      </c:ext>
                    </c:extLst>
                    <c:numCache>
                      <c:formatCode>#,##0_ ;\-#,##0\ </c:formatCode>
                      <c:ptCount val="5"/>
                      <c:pt idx="0">
                        <c:v>-1229.25</c:v>
                      </c:pt>
                      <c:pt idx="1">
                        <c:v>2822.2</c:v>
                      </c:pt>
                      <c:pt idx="2">
                        <c:v>-424.59999999999991</c:v>
                      </c:pt>
                      <c:pt idx="3">
                        <c:v>-896.75</c:v>
                      </c:pt>
                      <c:pt idx="4">
                        <c:v>-1470.1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14-4ADA-87E7-EEF4B925C63F}"/>
                  </c:ext>
                </c:extLst>
              </c15:ser>
            </c15:filteredBarSeries>
          </c:ext>
        </c:extLst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DB efter maskin- og arbejdsomk.</a:t>
            </a:r>
            <a:endParaRPr lang="da-DK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3189564940746044"/>
          <c:y val="0.18491755028112147"/>
          <c:w val="0.74078103873379464"/>
          <c:h val="0.61237281368566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Simulering!$C$65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Simulering!$P$66:$P$71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Simulering!$C$66:$C$71</c:f>
            </c:numRef>
          </c:val>
          <c:extLst>
            <c:ext xmlns:c16="http://schemas.microsoft.com/office/drawing/2014/chart" uri="{C3380CC4-5D6E-409C-BE32-E72D297353CC}">
              <c16:uniqueId val="{00000000-EDA0-43EC-8978-3D44DD1DA4B1}"/>
            </c:ext>
          </c:extLst>
        </c:ser>
        <c:ser>
          <c:idx val="1"/>
          <c:order val="1"/>
          <c:tx>
            <c:strRef>
              <c:f>Simulering!$Q$65</c:f>
              <c:strCache>
                <c:ptCount val="1"/>
                <c:pt idx="0">
                  <c:v> Brødhvede JB2&amp;4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Simulering!$P$66:$P$71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Simulering!$Q$66:$Q$71</c:f>
              <c:numCache>
                <c:formatCode>#,##0_ ;\-#,##0\ </c:formatCode>
                <c:ptCount val="6"/>
                <c:pt idx="0">
                  <c:v>1869</c:v>
                </c:pt>
                <c:pt idx="1">
                  <c:v>2958</c:v>
                </c:pt>
                <c:pt idx="2">
                  <c:v>2449.3000000000002</c:v>
                </c:pt>
                <c:pt idx="3">
                  <c:v>2446.0500000000002</c:v>
                </c:pt>
                <c:pt idx="4">
                  <c:v>2275.4</c:v>
                </c:pt>
                <c:pt idx="5">
                  <c:v>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0-43EC-8978-3D44DD1DA4B1}"/>
            </c:ext>
          </c:extLst>
        </c:ser>
        <c:ser>
          <c:idx val="6"/>
          <c:order val="6"/>
          <c:tx>
            <c:strRef>
              <c:f>Simulering!$I$65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Simulering!$P$66:$P$71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Simulering!$I$66:$I$71</c:f>
            </c:numRef>
          </c:val>
          <c:extLst>
            <c:ext xmlns:c16="http://schemas.microsoft.com/office/drawing/2014/chart" uri="{C3380CC4-5D6E-409C-BE32-E72D297353CC}">
              <c16:uniqueId val="{0000000B-8431-451D-8EC2-2DCAE6D5F76B}"/>
            </c:ext>
          </c:extLst>
        </c:ser>
        <c:ser>
          <c:idx val="7"/>
          <c:order val="7"/>
          <c:tx>
            <c:strRef>
              <c:f>Simulering!$R$65</c:f>
              <c:strCache>
                <c:ptCount val="1"/>
                <c:pt idx="0">
                  <c:v> Brødhvede JB5&amp;6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Simulering!$P$66:$P$71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Simulering!$R$66:$R$71</c:f>
              <c:numCache>
                <c:formatCode>#,##0_ ;\-#,##0\ </c:formatCode>
                <c:ptCount val="6"/>
                <c:pt idx="0">
                  <c:v>4372</c:v>
                </c:pt>
                <c:pt idx="1">
                  <c:v>5475.7000000000007</c:v>
                </c:pt>
                <c:pt idx="2">
                  <c:v>5063.1500000000005</c:v>
                </c:pt>
                <c:pt idx="3">
                  <c:v>5042.05</c:v>
                </c:pt>
                <c:pt idx="4">
                  <c:v>4968.6000000000004</c:v>
                </c:pt>
                <c:pt idx="5">
                  <c:v>4246.4500000000007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31-451D-8EC2-2DCAE6D5F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991776"/>
        <c:axId val="89799219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Simulering!$E$65</c15:sqref>
                        </c15:formulaRef>
                      </c:ext>
                    </c:extLst>
                    <c:strCache>
                      <c:ptCount val="1"/>
                      <c:pt idx="0">
                        <c:v>Brødhvede gulrust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Simulering!$P$66:$P$71</c15:sqref>
                        </c15:formulaRef>
                      </c:ext>
                    </c:extLst>
                    <c:strCache>
                      <c:ptCount val="6"/>
                      <c:pt idx="0">
                        <c:v>Budgetkalkule</c:v>
                      </c:pt>
                      <c:pt idx="1">
                        <c:v>Led 1</c:v>
                      </c:pt>
                      <c:pt idx="2">
                        <c:v>Led 2</c:v>
                      </c:pt>
                      <c:pt idx="3">
                        <c:v>Led 3</c:v>
                      </c:pt>
                      <c:pt idx="4">
                        <c:v>Led 4</c:v>
                      </c:pt>
                      <c:pt idx="5">
                        <c:v>Led 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Simulering!$E$66:$E$71</c15:sqref>
                        </c15:formulaRef>
                      </c:ext>
                    </c:extLst>
                    <c:numCache>
                      <c:formatCode>#,##0_ ;\-#,##0\ </c:formatCode>
                      <c:ptCount val="6"/>
                      <c:pt idx="0">
                        <c:v>1869</c:v>
                      </c:pt>
                      <c:pt idx="1">
                        <c:v>-1985</c:v>
                      </c:pt>
                      <c:pt idx="2">
                        <c:v>534.79999999999995</c:v>
                      </c:pt>
                      <c:pt idx="3">
                        <c:v>611.04999999999995</c:v>
                      </c:pt>
                      <c:pt idx="4">
                        <c:v>322.39999999999998</c:v>
                      </c:pt>
                      <c:pt idx="5">
                        <c:v>-128.5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431-451D-8EC2-2DCAE6D5F76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Simulering!$F$65</c15:sqref>
                        </c15:formulaRef>
                      </c:ext>
                    </c:extLst>
                    <c:strCache>
                      <c:ptCount val="1"/>
                      <c:pt idx="0">
                        <c:v>Brødrug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Simulering!$P$66:$P$71</c15:sqref>
                        </c15:formulaRef>
                      </c:ext>
                    </c:extLst>
                    <c:strCache>
                      <c:ptCount val="6"/>
                      <c:pt idx="0">
                        <c:v>Budgetkalkule</c:v>
                      </c:pt>
                      <c:pt idx="1">
                        <c:v>Led 1</c:v>
                      </c:pt>
                      <c:pt idx="2">
                        <c:v>Led 2</c:v>
                      </c:pt>
                      <c:pt idx="3">
                        <c:v>Led 3</c:v>
                      </c:pt>
                      <c:pt idx="4">
                        <c:v>Led 4</c:v>
                      </c:pt>
                      <c:pt idx="5">
                        <c:v>Led 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Simulering!$F$66:$F$71</c15:sqref>
                        </c15:formulaRef>
                      </c:ext>
                    </c:extLst>
                    <c:numCache>
                      <c:formatCode>#,##0_ ;\-#,##0\ </c:formatCode>
                      <c:ptCount val="6"/>
                      <c:pt idx="0">
                        <c:v>3040</c:v>
                      </c:pt>
                      <c:pt idx="1">
                        <c:v>1951.8615384615387</c:v>
                      </c:pt>
                      <c:pt idx="2">
                        <c:v>1803.3999999999996</c:v>
                      </c:pt>
                      <c:pt idx="3">
                        <c:v>1608.4769230769252</c:v>
                      </c:pt>
                      <c:pt idx="4">
                        <c:v>1470.4769230769252</c:v>
                      </c:pt>
                      <c:pt idx="5">
                        <c:v>1492.184615384615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31-451D-8EC2-2DCAE6D5F76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Simulering!$G$65</c15:sqref>
                        </c15:formulaRef>
                      </c:ext>
                    </c:extLst>
                    <c:strCache>
                      <c:ptCount val="1"/>
                      <c:pt idx="0">
                        <c:v>Maltbyg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Simulering!$P$66:$P$71</c15:sqref>
                        </c15:formulaRef>
                      </c:ext>
                    </c:extLst>
                    <c:strCache>
                      <c:ptCount val="6"/>
                      <c:pt idx="0">
                        <c:v>Budgetkalkule</c:v>
                      </c:pt>
                      <c:pt idx="1">
                        <c:v>Led 1</c:v>
                      </c:pt>
                      <c:pt idx="2">
                        <c:v>Led 2</c:v>
                      </c:pt>
                      <c:pt idx="3">
                        <c:v>Led 3</c:v>
                      </c:pt>
                      <c:pt idx="4">
                        <c:v>Led 4</c:v>
                      </c:pt>
                      <c:pt idx="5">
                        <c:v>Led 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Simulering!$G$66:$G$71</c15:sqref>
                        </c15:formulaRef>
                      </c:ext>
                    </c:extLst>
                    <c:numCache>
                      <c:formatCode>#,##0_ ;\-#,##0\ </c:formatCode>
                      <c:ptCount val="6"/>
                      <c:pt idx="0">
                        <c:v>758.49999999999909</c:v>
                      </c:pt>
                      <c:pt idx="1">
                        <c:v>1326.2223880597003</c:v>
                      </c:pt>
                      <c:pt idx="2">
                        <c:v>1138.3828358208948</c:v>
                      </c:pt>
                      <c:pt idx="3">
                        <c:v>953.16268656716329</c:v>
                      </c:pt>
                      <c:pt idx="4">
                        <c:v>683.39402985074594</c:v>
                      </c:pt>
                      <c:pt idx="5">
                        <c:v>357.3828358208948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31-451D-8EC2-2DCAE6D5F76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Simulering!$H$65</c15:sqref>
                        </c15:formulaRef>
                      </c:ext>
                    </c:extLst>
                    <c:strCache>
                      <c:ptCount val="1"/>
                      <c:pt idx="0">
                        <c:v>Grynhavre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Simulering!$P$66:$P$71</c15:sqref>
                        </c15:formulaRef>
                      </c:ext>
                    </c:extLst>
                    <c:strCache>
                      <c:ptCount val="6"/>
                      <c:pt idx="0">
                        <c:v>Budgetkalkule</c:v>
                      </c:pt>
                      <c:pt idx="1">
                        <c:v>Led 1</c:v>
                      </c:pt>
                      <c:pt idx="2">
                        <c:v>Led 2</c:v>
                      </c:pt>
                      <c:pt idx="3">
                        <c:v>Led 3</c:v>
                      </c:pt>
                      <c:pt idx="4">
                        <c:v>Led 4</c:v>
                      </c:pt>
                      <c:pt idx="5">
                        <c:v>Led 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Simulering!$H$66:$H$71</c15:sqref>
                        </c15:formulaRef>
                      </c:ext>
                    </c:extLst>
                    <c:numCache>
                      <c:formatCode>#,##0_ ;\-#,##0\ </c:formatCode>
                      <c:ptCount val="6"/>
                      <c:pt idx="0">
                        <c:v>664.5</c:v>
                      </c:pt>
                      <c:pt idx="1">
                        <c:v>2272.2250000000004</c:v>
                      </c:pt>
                      <c:pt idx="2">
                        <c:v>2005.0250000000005</c:v>
                      </c:pt>
                      <c:pt idx="3">
                        <c:v>2038.9750000000004</c:v>
                      </c:pt>
                      <c:pt idx="4">
                        <c:v>1884.4750000000004</c:v>
                      </c:pt>
                      <c:pt idx="5">
                        <c:v>886.12500000000045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31-451D-8EC2-2DCAE6D5F76B}"/>
                  </c:ext>
                </c:extLst>
              </c15:ser>
            </c15:filteredBarSeries>
          </c:ext>
        </c:extLst>
      </c:barChart>
      <c:catAx>
        <c:axId val="8979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2192"/>
        <c:crosses val="autoZero"/>
        <c:auto val="1"/>
        <c:lblAlgn val="ctr"/>
        <c:lblOffset val="100"/>
        <c:noMultiLvlLbl val="0"/>
      </c:catAx>
      <c:valAx>
        <c:axId val="897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layout>
            <c:manualLayout>
              <c:xMode val="edge"/>
              <c:yMode val="edge"/>
              <c:x val="2.7454386383520241E-2"/>
              <c:y val="0.4079444354503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32092579336675"/>
          <c:y val="0.91545845500656697"/>
          <c:w val="0.6666790742066333"/>
          <c:h val="6.521786761546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DB efter maskin- og arbejdsomk. JB2&amp;4</a:t>
            </a:r>
            <a:endParaRPr lang="da-DK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780557874391776"/>
          <c:y val="0.13467592592592595"/>
          <c:w val="0.78163872782377852"/>
          <c:h val="0.68042341234968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Simulering!$C$65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Simulering!$C$66:$C$71</c:f>
            </c:numRef>
          </c:val>
          <c:extLst>
            <c:ext xmlns:c16="http://schemas.microsoft.com/office/drawing/2014/chart" uri="{C3380CC4-5D6E-409C-BE32-E72D297353CC}">
              <c16:uniqueId val="{00000000-DA04-4EBA-B6AF-03F907BBAE7B}"/>
            </c:ext>
          </c:extLst>
        </c:ser>
        <c:ser>
          <c:idx val="1"/>
          <c:order val="1"/>
          <c:tx>
            <c:strRef>
              <c:f>Simulering!$D$73</c:f>
              <c:strCache>
                <c:ptCount val="1"/>
                <c:pt idx="0">
                  <c:v>Brødhvede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Simulering!$D$66:$D$71</c:f>
              <c:numCache>
                <c:formatCode>#,##0_ ;\-#,##0\ </c:formatCode>
                <c:ptCount val="6"/>
                <c:pt idx="0">
                  <c:v>1869</c:v>
                </c:pt>
                <c:pt idx="1">
                  <c:v>2958</c:v>
                </c:pt>
                <c:pt idx="2">
                  <c:v>2449.3000000000002</c:v>
                </c:pt>
                <c:pt idx="3">
                  <c:v>2446.0500000000002</c:v>
                </c:pt>
                <c:pt idx="4">
                  <c:v>2275.4</c:v>
                </c:pt>
                <c:pt idx="5">
                  <c:v>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4-4EBA-B6AF-03F907BBAE7B}"/>
            </c:ext>
          </c:extLst>
        </c:ser>
        <c:ser>
          <c:idx val="2"/>
          <c:order val="2"/>
          <c:tx>
            <c:strRef>
              <c:f>Simulering!$E$65</c:f>
              <c:strCache>
                <c:ptCount val="1"/>
                <c:pt idx="0">
                  <c:v>Brødhvede gulrust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Simulering!$E$66:$E$71</c:f>
              <c:numCache>
                <c:formatCode>#,##0_ ;\-#,##0\ </c:formatCode>
                <c:ptCount val="6"/>
                <c:pt idx="0">
                  <c:v>1869</c:v>
                </c:pt>
                <c:pt idx="1">
                  <c:v>-1985</c:v>
                </c:pt>
                <c:pt idx="2">
                  <c:v>534.79999999999995</c:v>
                </c:pt>
                <c:pt idx="3">
                  <c:v>611.04999999999995</c:v>
                </c:pt>
                <c:pt idx="4">
                  <c:v>322.39999999999998</c:v>
                </c:pt>
                <c:pt idx="5">
                  <c:v>-128.5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4-4EBA-B6AF-03F907BBAE7B}"/>
            </c:ext>
          </c:extLst>
        </c:ser>
        <c:ser>
          <c:idx val="3"/>
          <c:order val="3"/>
          <c:tx>
            <c:strRef>
              <c:f>Simulering!$F$65</c:f>
              <c:strCache>
                <c:ptCount val="1"/>
                <c:pt idx="0">
                  <c:v>Brødrug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Simulering!$F$66:$F$71</c:f>
              <c:numCache>
                <c:formatCode>#,##0_ ;\-#,##0\ </c:formatCode>
                <c:ptCount val="6"/>
                <c:pt idx="0">
                  <c:v>3040</c:v>
                </c:pt>
                <c:pt idx="1">
                  <c:v>1951.8615384615387</c:v>
                </c:pt>
                <c:pt idx="2">
                  <c:v>1803.3999999999996</c:v>
                </c:pt>
                <c:pt idx="3">
                  <c:v>1608.4769230769252</c:v>
                </c:pt>
                <c:pt idx="4">
                  <c:v>1470.4769230769252</c:v>
                </c:pt>
                <c:pt idx="5">
                  <c:v>1492.184615384615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4-4EBA-B6AF-03F907BBAE7B}"/>
            </c:ext>
          </c:extLst>
        </c:ser>
        <c:ser>
          <c:idx val="4"/>
          <c:order val="4"/>
          <c:tx>
            <c:strRef>
              <c:f>Simulering!$G$65</c:f>
              <c:strCache>
                <c:ptCount val="1"/>
                <c:pt idx="0">
                  <c:v>Maltbyg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Simulering!$G$66:$G$71</c:f>
              <c:numCache>
                <c:formatCode>#,##0_ ;\-#,##0\ </c:formatCode>
                <c:ptCount val="6"/>
                <c:pt idx="0">
                  <c:v>758.49999999999909</c:v>
                </c:pt>
                <c:pt idx="1">
                  <c:v>1326.2223880597003</c:v>
                </c:pt>
                <c:pt idx="2">
                  <c:v>1138.3828358208948</c:v>
                </c:pt>
                <c:pt idx="3">
                  <c:v>953.16268656716329</c:v>
                </c:pt>
                <c:pt idx="4">
                  <c:v>683.39402985074594</c:v>
                </c:pt>
                <c:pt idx="5">
                  <c:v>357.3828358208948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04-4EBA-B6AF-03F907BBAE7B}"/>
            </c:ext>
          </c:extLst>
        </c:ser>
        <c:ser>
          <c:idx val="5"/>
          <c:order val="5"/>
          <c:tx>
            <c:strRef>
              <c:f>Simulering!$H$65</c:f>
              <c:strCache>
                <c:ptCount val="1"/>
                <c:pt idx="0">
                  <c:v>Grynhavre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Simulering!$B$66:$B$71</c:f>
              <c:strCache>
                <c:ptCount val="6"/>
                <c:pt idx="0">
                  <c:v>Budgetkalkule</c:v>
                </c:pt>
                <c:pt idx="1">
                  <c:v>Led 1</c:v>
                </c:pt>
                <c:pt idx="2">
                  <c:v>Led 2</c:v>
                </c:pt>
                <c:pt idx="3">
                  <c:v>Led 3</c:v>
                </c:pt>
                <c:pt idx="4">
                  <c:v>Led 4</c:v>
                </c:pt>
                <c:pt idx="5">
                  <c:v>Led 5</c:v>
                </c:pt>
              </c:strCache>
            </c:strRef>
          </c:cat>
          <c:val>
            <c:numRef>
              <c:f>Simulering!$H$66:$H$71</c:f>
              <c:numCache>
                <c:formatCode>#,##0_ ;\-#,##0\ </c:formatCode>
                <c:ptCount val="6"/>
                <c:pt idx="0">
                  <c:v>664.5</c:v>
                </c:pt>
                <c:pt idx="1">
                  <c:v>2272.2250000000004</c:v>
                </c:pt>
                <c:pt idx="2">
                  <c:v>2005.0250000000005</c:v>
                </c:pt>
                <c:pt idx="3">
                  <c:v>2038.9750000000004</c:v>
                </c:pt>
                <c:pt idx="4">
                  <c:v>1884.4750000000004</c:v>
                </c:pt>
                <c:pt idx="5">
                  <c:v>886.12500000000045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04-4EBA-B6AF-03F907BBA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991776"/>
        <c:axId val="897992192"/>
      </c:barChart>
      <c:catAx>
        <c:axId val="8979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2192"/>
        <c:crosses val="autoZero"/>
        <c:auto val="1"/>
        <c:lblAlgn val="ctr"/>
        <c:lblOffset val="100"/>
        <c:noMultiLvlLbl val="0"/>
      </c:catAx>
      <c:valAx>
        <c:axId val="897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100"/>
                  <a:t>Kr. pr. ha</a:t>
                </a:r>
              </a:p>
            </c:rich>
          </c:tx>
          <c:layout>
            <c:manualLayout>
              <c:xMode val="edge"/>
              <c:yMode val="edge"/>
              <c:x val="4.1288003656751691E-3"/>
              <c:y val="0.44509155153269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79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24971985951613"/>
          <c:y val="0.8498101885977063"/>
          <c:w val="0.77737036452105368"/>
          <c:h val="0.13084176932512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</a:t>
            </a:r>
            <a:r>
              <a:rPr lang="en-US" baseline="0"/>
              <a:t> </a:t>
            </a:r>
            <a:r>
              <a:rPr lang="en-US"/>
              <a:t>DB efter</a:t>
            </a:r>
            <a:r>
              <a:rPr lang="en-US" baseline="0"/>
              <a:t> maskin- og arbejdsomk. ift. led 2, JB2&amp;4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08182159048301"/>
          <c:y val="0.17171296296296296"/>
          <c:w val="0.78862623990183056"/>
          <c:h val="0.72902153906158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Simulering!$B$80</c:f>
              <c:strCache>
                <c:ptCount val="1"/>
                <c:pt idx="0">
                  <c:v>Led 2 og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Simulering!$C$79:$H$79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Simulering!$C$80:$H$80</c:f>
              <c:numCache>
                <c:formatCode>#,##0_ ;\-#,##0\ </c:formatCode>
                <c:ptCount val="5"/>
                <c:pt idx="0">
                  <c:v>-3.25</c:v>
                </c:pt>
                <c:pt idx="1">
                  <c:v>76.25</c:v>
                </c:pt>
                <c:pt idx="2">
                  <c:v>-194.9230769230744</c:v>
                </c:pt>
                <c:pt idx="3">
                  <c:v>-185.22014925373151</c:v>
                </c:pt>
                <c:pt idx="4">
                  <c:v>33.949999999999818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F-45C2-9FC2-0A0BE73F1DCE}"/>
            </c:ext>
          </c:extLst>
        </c:ser>
        <c:ser>
          <c:idx val="1"/>
          <c:order val="1"/>
          <c:tx>
            <c:strRef>
              <c:f>Simulering!$B$81</c:f>
              <c:strCache>
                <c:ptCount val="1"/>
                <c:pt idx="0">
                  <c:v>Led 2 og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Simulering!$C$79:$H$79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Simulering!$C$81:$H$81</c:f>
              <c:numCache>
                <c:formatCode>#,##0_ ;\-#,##0\ </c:formatCode>
                <c:ptCount val="5"/>
                <c:pt idx="0">
                  <c:v>-173.90000000000009</c:v>
                </c:pt>
                <c:pt idx="1">
                  <c:v>-212.40000000000009</c:v>
                </c:pt>
                <c:pt idx="2">
                  <c:v>-332.9230769230744</c:v>
                </c:pt>
                <c:pt idx="3">
                  <c:v>-454.98880597014886</c:v>
                </c:pt>
                <c:pt idx="4">
                  <c:v>-120.55000000000018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F-45C2-9FC2-0A0BE73F1DCE}"/>
            </c:ext>
          </c:extLst>
        </c:ser>
        <c:ser>
          <c:idx val="2"/>
          <c:order val="2"/>
          <c:tx>
            <c:strRef>
              <c:f>Simulering!$B$82</c:f>
              <c:strCache>
                <c:ptCount val="1"/>
                <c:pt idx="0">
                  <c:v>Led 2 og 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Simulering!$C$79:$H$79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Simulering!$C$82:$H$82</c:f>
              <c:numCache>
                <c:formatCode>#,##0_ ;\-#,##0\ </c:formatCode>
                <c:ptCount val="5"/>
                <c:pt idx="0">
                  <c:v>-751.30000000000018</c:v>
                </c:pt>
                <c:pt idx="1">
                  <c:v>-663.30000000000018</c:v>
                </c:pt>
                <c:pt idx="2">
                  <c:v>-311.21538461538466</c:v>
                </c:pt>
                <c:pt idx="3">
                  <c:v>-781</c:v>
                </c:pt>
                <c:pt idx="4">
                  <c:v>-1118.9000000000001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F-45C2-9FC2-0A0BE73F1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</a:t>
            </a:r>
            <a:r>
              <a:rPr lang="en-US" baseline="0"/>
              <a:t> </a:t>
            </a:r>
            <a:r>
              <a:rPr lang="en-US"/>
              <a:t>DB efter</a:t>
            </a:r>
            <a:r>
              <a:rPr lang="en-US" baseline="0"/>
              <a:t> maskin- og arbejdsomk. ift. led 2, JB5&amp;6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1991260751379854"/>
          <c:y val="0.17171296296296296"/>
          <c:w val="0.7495319018704798"/>
          <c:h val="0.73589682984820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Simulering!$B$80</c:f>
              <c:strCache>
                <c:ptCount val="1"/>
                <c:pt idx="0">
                  <c:v>Led 2 og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Simulering!$I$79:$N$79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Simulering!$I$80:$N$80</c:f>
              <c:numCache>
                <c:formatCode>#,##0_ ;\-#,##0\ </c:formatCode>
                <c:ptCount val="5"/>
                <c:pt idx="0">
                  <c:v>-21.100000000000364</c:v>
                </c:pt>
                <c:pt idx="1">
                  <c:v>82.25</c:v>
                </c:pt>
                <c:pt idx="2">
                  <c:v>-182</c:v>
                </c:pt>
                <c:pt idx="3">
                  <c:v>-209.25</c:v>
                </c:pt>
                <c:pt idx="4">
                  <c:v>42.949999999999818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F-42C2-ABF9-475D8BF48D17}"/>
            </c:ext>
          </c:extLst>
        </c:ser>
        <c:ser>
          <c:idx val="1"/>
          <c:order val="1"/>
          <c:tx>
            <c:strRef>
              <c:f>Simulering!$B$81</c:f>
              <c:strCache>
                <c:ptCount val="1"/>
                <c:pt idx="0">
                  <c:v>Led 2 og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Simulering!$I$79:$N$79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Simulering!$I$81:$N$81</c:f>
              <c:numCache>
                <c:formatCode>#,##0_ ;\-#,##0\ </c:formatCode>
                <c:ptCount val="5"/>
                <c:pt idx="0">
                  <c:v>-94.550000000000182</c:v>
                </c:pt>
                <c:pt idx="1">
                  <c:v>-144.60000000000082</c:v>
                </c:pt>
                <c:pt idx="2">
                  <c:v>-320</c:v>
                </c:pt>
                <c:pt idx="3">
                  <c:v>-423.75</c:v>
                </c:pt>
                <c:pt idx="4">
                  <c:v>-92.050000000000182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F-42C2-ABF9-475D8BF48D17}"/>
            </c:ext>
          </c:extLst>
        </c:ser>
        <c:ser>
          <c:idx val="2"/>
          <c:order val="2"/>
          <c:tx>
            <c:strRef>
              <c:f>Simulering!$B$82</c:f>
              <c:strCache>
                <c:ptCount val="1"/>
                <c:pt idx="0">
                  <c:v>Led 2 og 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Simulering!$I$79:$N$79</c:f>
              <c:strCache>
                <c:ptCount val="5"/>
                <c:pt idx="0">
                  <c:v>Brødhvede</c:v>
                </c:pt>
                <c:pt idx="1">
                  <c:v>Brødhvede gulrust</c:v>
                </c:pt>
                <c:pt idx="2">
                  <c:v>Brødrug</c:v>
                </c:pt>
                <c:pt idx="3">
                  <c:v>Maltbyg</c:v>
                </c:pt>
                <c:pt idx="4">
                  <c:v>Grynhavre</c:v>
                </c:pt>
              </c:strCache>
            </c:strRef>
          </c:cat>
          <c:val>
            <c:numRef>
              <c:f>Simulering!$I$82:$N$82</c:f>
              <c:numCache>
                <c:formatCode>#,##0_ ;\-#,##0\ </c:formatCode>
                <c:ptCount val="5"/>
                <c:pt idx="0">
                  <c:v>-816.69999999999982</c:v>
                </c:pt>
                <c:pt idx="1">
                  <c:v>-702.30000000000018</c:v>
                </c:pt>
                <c:pt idx="2">
                  <c:v>-294.59999999999991</c:v>
                </c:pt>
                <c:pt idx="3">
                  <c:v>-781</c:v>
                </c:pt>
                <c:pt idx="4">
                  <c:v>-1190.9000000000001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F-42C2-ABF9-475D8BF48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329327"/>
        <c:axId val="1058319343"/>
      </c:barChart>
      <c:catAx>
        <c:axId val="105832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19343"/>
        <c:crosses val="autoZero"/>
        <c:auto val="1"/>
        <c:lblAlgn val="ctr"/>
        <c:lblOffset val="100"/>
        <c:noMultiLvlLbl val="0"/>
      </c:catAx>
      <c:valAx>
        <c:axId val="105831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Kr. pr. 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832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15324</xdr:colOff>
      <xdr:row>116</xdr:row>
      <xdr:rowOff>14907</xdr:rowOff>
    </xdr:from>
    <xdr:to>
      <xdr:col>15</xdr:col>
      <xdr:colOff>228600</xdr:colOff>
      <xdr:row>137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120925</xdr:rowOff>
    </xdr:from>
    <xdr:to>
      <xdr:col>15</xdr:col>
      <xdr:colOff>228599</xdr:colOff>
      <xdr:row>113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116</xdr:row>
      <xdr:rowOff>8284</xdr:rowOff>
    </xdr:from>
    <xdr:to>
      <xdr:col>9</xdr:col>
      <xdr:colOff>314325</xdr:colOff>
      <xdr:row>137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95250</xdr:colOff>
      <xdr:row>228</xdr:row>
      <xdr:rowOff>142875</xdr:rowOff>
    </xdr:from>
    <xdr:to>
      <xdr:col>12</xdr:col>
      <xdr:colOff>51352</xdr:colOff>
      <xdr:row>254</xdr:row>
      <xdr:rowOff>98148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228600</xdr:colOff>
      <xdr:row>229</xdr:row>
      <xdr:rowOff>66675</xdr:rowOff>
    </xdr:from>
    <xdr:to>
      <xdr:col>20</xdr:col>
      <xdr:colOff>190500</xdr:colOff>
      <xdr:row>255</xdr:row>
      <xdr:rowOff>14497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76201</xdr:colOff>
      <xdr:row>185</xdr:row>
      <xdr:rowOff>38101</xdr:rowOff>
    </xdr:from>
    <xdr:to>
      <xdr:col>9</xdr:col>
      <xdr:colOff>314326</xdr:colOff>
      <xdr:row>206</xdr:row>
      <xdr:rowOff>123825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9</xdr:col>
      <xdr:colOff>342900</xdr:colOff>
      <xdr:row>113</xdr:row>
      <xdr:rowOff>85725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139</xdr:row>
      <xdr:rowOff>0</xdr:rowOff>
    </xdr:from>
    <xdr:to>
      <xdr:col>9</xdr:col>
      <xdr:colOff>314325</xdr:colOff>
      <xdr:row>160</xdr:row>
      <xdr:rowOff>67916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139</xdr:row>
      <xdr:rowOff>0</xdr:rowOff>
    </xdr:from>
    <xdr:to>
      <xdr:col>15</xdr:col>
      <xdr:colOff>213276</xdr:colOff>
      <xdr:row>160</xdr:row>
      <xdr:rowOff>99393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162</xdr:row>
      <xdr:rowOff>0</xdr:rowOff>
    </xdr:from>
    <xdr:to>
      <xdr:col>9</xdr:col>
      <xdr:colOff>314325</xdr:colOff>
      <xdr:row>183</xdr:row>
      <xdr:rowOff>67916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19050</xdr:colOff>
      <xdr:row>161</xdr:row>
      <xdr:rowOff>95250</xdr:rowOff>
    </xdr:from>
    <xdr:to>
      <xdr:col>15</xdr:col>
      <xdr:colOff>232326</xdr:colOff>
      <xdr:row>183</xdr:row>
      <xdr:rowOff>42243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19050</xdr:colOff>
      <xdr:row>185</xdr:row>
      <xdr:rowOff>19050</xdr:rowOff>
    </xdr:from>
    <xdr:to>
      <xdr:col>15</xdr:col>
      <xdr:colOff>209550</xdr:colOff>
      <xdr:row>206</xdr:row>
      <xdr:rowOff>104774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447675</xdr:colOff>
      <xdr:row>185</xdr:row>
      <xdr:rowOff>0</xdr:rowOff>
    </xdr:from>
    <xdr:to>
      <xdr:col>18</xdr:col>
      <xdr:colOff>685800</xdr:colOff>
      <xdr:row>206</xdr:row>
      <xdr:rowOff>85724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185</xdr:row>
      <xdr:rowOff>0</xdr:rowOff>
    </xdr:from>
    <xdr:to>
      <xdr:col>24</xdr:col>
      <xdr:colOff>95250</xdr:colOff>
      <xdr:row>206</xdr:row>
      <xdr:rowOff>85724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tabSelected="1" zoomScale="130" zoomScaleNormal="13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P64" sqref="P64"/>
    </sheetView>
  </sheetViews>
  <sheetFormatPr defaultRowHeight="12" x14ac:dyDescent="0.2"/>
  <cols>
    <col min="1" max="1" width="5" customWidth="1"/>
    <col min="2" max="2" width="35.5703125" customWidth="1"/>
    <col min="3" max="3" width="8.5703125" style="19" hidden="1" customWidth="1"/>
    <col min="4" max="4" width="8.5703125" style="19" customWidth="1"/>
    <col min="5" max="7" width="8.85546875" style="19" customWidth="1"/>
    <col min="8" max="8" width="8.42578125" style="19" bestFit="1" customWidth="1"/>
    <col min="9" max="9" width="8.5703125" hidden="1" customWidth="1"/>
    <col min="10" max="10" width="8.5703125" bestFit="1" customWidth="1"/>
    <col min="11" max="15" width="8.85546875" customWidth="1"/>
    <col min="16" max="16" width="16.7109375" customWidth="1"/>
    <col min="17" max="20" width="12.28515625" customWidth="1"/>
  </cols>
  <sheetData>
    <row r="1" spans="1:30" ht="20.25" x14ac:dyDescent="0.3">
      <c r="B1" s="35" t="s">
        <v>102</v>
      </c>
    </row>
    <row r="4" spans="1:30" x14ac:dyDescent="0.2">
      <c r="C4" s="74" t="s">
        <v>115</v>
      </c>
      <c r="D4" s="74"/>
      <c r="E4" s="74"/>
      <c r="F4" s="74"/>
      <c r="G4" s="74"/>
      <c r="H4" s="74"/>
      <c r="I4" s="75" t="s">
        <v>63</v>
      </c>
      <c r="J4" s="75"/>
      <c r="K4" s="75"/>
      <c r="L4" s="75"/>
      <c r="M4" s="75"/>
      <c r="N4" s="75"/>
    </row>
    <row r="5" spans="1:30" ht="22.5" x14ac:dyDescent="0.2">
      <c r="C5" s="31" t="s">
        <v>59</v>
      </c>
      <c r="D5" s="50" t="s">
        <v>59</v>
      </c>
      <c r="E5" s="50" t="s">
        <v>110</v>
      </c>
      <c r="F5" s="31" t="s">
        <v>60</v>
      </c>
      <c r="G5" s="31" t="s">
        <v>61</v>
      </c>
      <c r="H5" s="31" t="s">
        <v>62</v>
      </c>
      <c r="I5" s="31" t="s">
        <v>59</v>
      </c>
      <c r="J5" s="50" t="s">
        <v>59</v>
      </c>
      <c r="K5" s="50" t="s">
        <v>110</v>
      </c>
      <c r="L5" s="31" t="s">
        <v>60</v>
      </c>
      <c r="M5" s="31" t="s">
        <v>61</v>
      </c>
      <c r="N5" s="31" t="s">
        <v>62</v>
      </c>
      <c r="P5" s="34" t="s">
        <v>92</v>
      </c>
      <c r="S5" s="31" t="s">
        <v>59</v>
      </c>
      <c r="T5" s="50" t="s">
        <v>109</v>
      </c>
      <c r="U5" s="50" t="s">
        <v>110</v>
      </c>
      <c r="V5" s="31" t="s">
        <v>60</v>
      </c>
      <c r="W5" s="31" t="s">
        <v>61</v>
      </c>
      <c r="X5" s="31" t="s">
        <v>62</v>
      </c>
      <c r="Y5" s="31" t="s">
        <v>59</v>
      </c>
      <c r="Z5" s="50" t="s">
        <v>109</v>
      </c>
      <c r="AA5" s="50" t="s">
        <v>110</v>
      </c>
      <c r="AB5" s="31" t="s">
        <v>60</v>
      </c>
      <c r="AC5" s="31" t="s">
        <v>61</v>
      </c>
      <c r="AD5" s="31" t="s">
        <v>62</v>
      </c>
    </row>
    <row r="6" spans="1:30" x14ac:dyDescent="0.2">
      <c r="A6" s="25" t="s">
        <v>71</v>
      </c>
      <c r="B6" s="14" t="s">
        <v>93</v>
      </c>
      <c r="P6" s="25" t="s">
        <v>91</v>
      </c>
    </row>
    <row r="7" spans="1:30" x14ac:dyDescent="0.2">
      <c r="A7" s="13" t="s">
        <v>100</v>
      </c>
      <c r="B7" t="s">
        <v>64</v>
      </c>
      <c r="C7" s="15">
        <v>7000</v>
      </c>
      <c r="D7" s="15">
        <v>7000</v>
      </c>
      <c r="E7" s="15">
        <v>7000</v>
      </c>
      <c r="F7" s="15">
        <v>7700</v>
      </c>
      <c r="G7" s="15">
        <v>5300</v>
      </c>
      <c r="H7" s="15">
        <v>5200</v>
      </c>
      <c r="I7" s="15">
        <v>9100</v>
      </c>
      <c r="J7" s="15">
        <v>9100</v>
      </c>
      <c r="K7" s="15">
        <v>9100</v>
      </c>
      <c r="L7" s="15">
        <v>9100</v>
      </c>
      <c r="M7" s="15">
        <v>6700</v>
      </c>
      <c r="N7" s="15">
        <v>6000</v>
      </c>
      <c r="R7" t="s">
        <v>112</v>
      </c>
      <c r="S7" s="15">
        <v>7000</v>
      </c>
      <c r="T7" s="15">
        <v>7000</v>
      </c>
      <c r="U7" s="15">
        <v>7000</v>
      </c>
      <c r="V7" s="15">
        <v>7700</v>
      </c>
      <c r="W7" s="15">
        <v>5300</v>
      </c>
      <c r="X7" s="15">
        <v>5200</v>
      </c>
      <c r="Y7" s="15">
        <v>8800</v>
      </c>
      <c r="Z7" s="15">
        <v>8800</v>
      </c>
      <c r="AA7" s="15">
        <v>8800</v>
      </c>
      <c r="AB7" s="15">
        <v>9300</v>
      </c>
      <c r="AC7" s="15">
        <v>6500</v>
      </c>
      <c r="AD7" s="15">
        <v>5800</v>
      </c>
    </row>
    <row r="8" spans="1:30" x14ac:dyDescent="0.2">
      <c r="A8" s="23">
        <v>1</v>
      </c>
      <c r="B8" t="s">
        <v>64</v>
      </c>
      <c r="C8" s="15">
        <f t="shared" ref="C8:D12" si="0">I8/I$7*C$7</f>
        <v>8221.538461538461</v>
      </c>
      <c r="D8" s="15">
        <f t="shared" si="0"/>
        <v>7037.6923076923076</v>
      </c>
      <c r="E8" s="15">
        <f t="shared" ref="E8:H8" si="1">K8/K$7*E$7</f>
        <v>3235.3846153846152</v>
      </c>
      <c r="F8" s="43">
        <f>L8/L$7*F$7</f>
        <v>6372.3846153846152</v>
      </c>
      <c r="G8" s="15">
        <f t="shared" si="1"/>
        <v>5293.6716417910447</v>
      </c>
      <c r="H8" s="15">
        <f t="shared" si="1"/>
        <v>6353.5333333333328</v>
      </c>
      <c r="I8" s="15">
        <f>10688*(1+$P8)</f>
        <v>10688</v>
      </c>
      <c r="J8" s="15">
        <f>9149*(1+$P8)</f>
        <v>9149</v>
      </c>
      <c r="K8" s="15">
        <f>4206*(1+$P8)</f>
        <v>4206</v>
      </c>
      <c r="L8" s="15">
        <f>(7531)*(1+$P8)</f>
        <v>7531</v>
      </c>
      <c r="M8" s="15">
        <f>(6692)*(1+$P8)</f>
        <v>6692</v>
      </c>
      <c r="N8" s="15">
        <f>(7331+0)*(1+$P8)</f>
        <v>7331</v>
      </c>
      <c r="P8" s="67">
        <v>0</v>
      </c>
    </row>
    <row r="9" spans="1:30" x14ac:dyDescent="0.2">
      <c r="A9" s="23">
        <v>2</v>
      </c>
      <c r="B9" t="s">
        <v>64</v>
      </c>
      <c r="C9" s="15">
        <f t="shared" si="0"/>
        <v>8413.8461538461543</v>
      </c>
      <c r="D9" s="15">
        <f t="shared" si="0"/>
        <v>7284.2307692307686</v>
      </c>
      <c r="E9" s="15">
        <f t="shared" ref="E9:E12" si="2">K9/K$7*E$7</f>
        <v>5811.5384615384619</v>
      </c>
      <c r="F9" s="43">
        <f t="shared" ref="F9:F12" si="3">L9/L$7*F$7</f>
        <v>6457</v>
      </c>
      <c r="G9" s="15">
        <f t="shared" ref="G9:G12" si="4">M9/M$7*G$7</f>
        <v>5530.9850746268658</v>
      </c>
      <c r="H9" s="15">
        <f t="shared" ref="H9:H12" si="5">N9/N$7*H$7</f>
        <v>6284.2</v>
      </c>
      <c r="I9" s="15">
        <f>(10688+250)*(1+$P9)</f>
        <v>10938</v>
      </c>
      <c r="J9" s="15">
        <f>(9149+320.5)*(1+$P9)</f>
        <v>9469.5</v>
      </c>
      <c r="K9" s="15">
        <f>(4206+3349)*(1+$P9)</f>
        <v>7555</v>
      </c>
      <c r="L9" s="15">
        <f>(7531+100)*(1+$P9)</f>
        <v>7631</v>
      </c>
      <c r="M9" s="15">
        <f>(6692+300)*(1+$P9)</f>
        <v>6992</v>
      </c>
      <c r="N9" s="15">
        <f>(7331-80)*(1+$P9)</f>
        <v>7251</v>
      </c>
      <c r="P9" s="67">
        <v>0</v>
      </c>
    </row>
    <row r="10" spans="1:30" x14ac:dyDescent="0.2">
      <c r="A10" s="23">
        <v>3</v>
      </c>
      <c r="B10" t="s">
        <v>64</v>
      </c>
      <c r="C10" s="15">
        <f t="shared" si="0"/>
        <v>8352.3076923076915</v>
      </c>
      <c r="D10" s="15">
        <f t="shared" si="0"/>
        <v>7238.461538461539</v>
      </c>
      <c r="E10" s="15">
        <f t="shared" si="2"/>
        <v>5826.9230769230771</v>
      </c>
      <c r="F10" s="43">
        <f t="shared" si="3"/>
        <v>6516.2307692307695</v>
      </c>
      <c r="G10" s="15">
        <f t="shared" si="4"/>
        <v>5451.8805970149251</v>
      </c>
      <c r="H10" s="15">
        <f t="shared" si="5"/>
        <v>6336.2</v>
      </c>
      <c r="I10" s="15">
        <f>(10688+170)*(1+$P10)</f>
        <v>10858</v>
      </c>
      <c r="J10" s="15">
        <f>(9149+261)*(1+$P10)</f>
        <v>9410</v>
      </c>
      <c r="K10" s="15">
        <f>(4206+3369)*(1+$P10)</f>
        <v>7575</v>
      </c>
      <c r="L10" s="15">
        <f>(7531+170)*(1+$P10)</f>
        <v>7701</v>
      </c>
      <c r="M10" s="15">
        <f>(6692+200)*(1+$P10)</f>
        <v>6892</v>
      </c>
      <c r="N10" s="15">
        <f>(7331-20)*(1+$P10)</f>
        <v>7311</v>
      </c>
      <c r="P10" s="67">
        <v>0</v>
      </c>
    </row>
    <row r="11" spans="1:30" x14ac:dyDescent="0.2">
      <c r="A11" s="27">
        <v>4</v>
      </c>
      <c r="B11" t="s">
        <v>64</v>
      </c>
      <c r="C11" s="15">
        <f t="shared" si="0"/>
        <v>8736.9230769230762</v>
      </c>
      <c r="D11" s="15">
        <f t="shared" si="0"/>
        <v>7487.6923076923076</v>
      </c>
      <c r="E11" s="15">
        <f t="shared" si="2"/>
        <v>5985.3846153846152</v>
      </c>
      <c r="F11" s="43">
        <f t="shared" si="3"/>
        <v>6516.2307692307695</v>
      </c>
      <c r="G11" s="15">
        <f t="shared" si="4"/>
        <v>5633.8208955223881</v>
      </c>
      <c r="H11" s="15">
        <f t="shared" si="5"/>
        <v>6448.8666666666668</v>
      </c>
      <c r="I11" s="15">
        <f>(10688+670)*(1+$P11)</f>
        <v>11358</v>
      </c>
      <c r="J11" s="15">
        <f>(9149+585)*(1+$P11)</f>
        <v>9734</v>
      </c>
      <c r="K11" s="15">
        <f>(4206+3575)*(1+$P11)</f>
        <v>7781</v>
      </c>
      <c r="L11" s="15">
        <f>(7531+170)*(1+$P11)</f>
        <v>7701</v>
      </c>
      <c r="M11" s="15">
        <f>(6692+430)*(1+$P11)</f>
        <v>7122</v>
      </c>
      <c r="N11" s="15">
        <f>(7331+110)*(1+$P11)</f>
        <v>7441</v>
      </c>
      <c r="P11" s="67">
        <v>0</v>
      </c>
    </row>
    <row r="12" spans="1:30" x14ac:dyDescent="0.2">
      <c r="A12" s="27">
        <v>5</v>
      </c>
      <c r="B12" t="s">
        <v>64</v>
      </c>
      <c r="C12" s="15">
        <f t="shared" si="0"/>
        <v>8283.076923076922</v>
      </c>
      <c r="D12" s="15">
        <f t="shared" si="0"/>
        <v>7116.538461538461</v>
      </c>
      <c r="E12" s="15">
        <f t="shared" si="2"/>
        <v>5711.5384615384619</v>
      </c>
      <c r="F12" s="43">
        <f t="shared" si="3"/>
        <v>6533.1538461538466</v>
      </c>
      <c r="G12" s="15">
        <f t="shared" si="4"/>
        <v>5530.9850746268658</v>
      </c>
      <c r="H12" s="15">
        <f t="shared" si="5"/>
        <v>5868.2000000000007</v>
      </c>
      <c r="I12" s="15">
        <f>(10688+80)*(1+$P12)</f>
        <v>10768</v>
      </c>
      <c r="J12" s="15">
        <f>(9149+102.5)*(1+$P12)</f>
        <v>9251.5</v>
      </c>
      <c r="K12" s="15">
        <f>(4206+3219)*(1+$P12)</f>
        <v>7425</v>
      </c>
      <c r="L12" s="15">
        <f>(7531+190)*(1+$P12)</f>
        <v>7721</v>
      </c>
      <c r="M12" s="15">
        <f>(6692+300)*(1+$P12)</f>
        <v>6992</v>
      </c>
      <c r="N12" s="15">
        <f>(7331-560)*(1+$P12)</f>
        <v>6771</v>
      </c>
      <c r="P12" s="67">
        <v>0</v>
      </c>
    </row>
    <row r="13" spans="1:30" x14ac:dyDescent="0.2">
      <c r="B13" t="s">
        <v>65</v>
      </c>
      <c r="C13" s="15">
        <v>4000</v>
      </c>
      <c r="D13" s="15">
        <v>4000</v>
      </c>
      <c r="E13" s="15">
        <v>4000</v>
      </c>
      <c r="F13" s="43">
        <v>5400</v>
      </c>
      <c r="G13" s="15">
        <v>3100</v>
      </c>
      <c r="H13" s="15">
        <v>3200</v>
      </c>
      <c r="I13" s="15">
        <v>4800</v>
      </c>
      <c r="J13" s="15">
        <v>4800</v>
      </c>
      <c r="K13" s="15">
        <v>4800</v>
      </c>
      <c r="L13" s="15">
        <v>6200</v>
      </c>
      <c r="M13" s="15">
        <v>3500</v>
      </c>
      <c r="N13" s="15">
        <v>3300</v>
      </c>
      <c r="P13" s="68"/>
    </row>
    <row r="14" spans="1:30" x14ac:dyDescent="0.2">
      <c r="B14" t="s">
        <v>66</v>
      </c>
      <c r="C14" s="15">
        <f>'Kalkule brødhvede'!$K12*(1+$P14)*100</f>
        <v>130</v>
      </c>
      <c r="D14" s="15">
        <f>'Kalkule brødhvede'!$K12*(1+$P14)*100</f>
        <v>130</v>
      </c>
      <c r="E14" s="15">
        <f>'Kalkule brødhvede'!$K12*(1+$P14)*100</f>
        <v>130</v>
      </c>
      <c r="F14" s="15">
        <f>'Kalkule brødrug'!$K13*100*(1+$P14)</f>
        <v>120</v>
      </c>
      <c r="G14" s="15">
        <f>'Kalkule maltbyg'!$K12*100*(1+$P14)</f>
        <v>114.99999999999999</v>
      </c>
      <c r="H14" s="15">
        <f>'Kalkule grynhavre'!$K12*100*(1+$P14)</f>
        <v>112.5</v>
      </c>
      <c r="I14" s="15">
        <f>'Kalkule brødhvede'!$R12*(1+$P14)*100</f>
        <v>130</v>
      </c>
      <c r="J14" s="15">
        <f>'Kalkule brødhvede'!$R12*(1+$P14)*100</f>
        <v>130</v>
      </c>
      <c r="K14" s="15">
        <f>'Kalkule brødhvede'!$R12*(1+$P14)*100</f>
        <v>130</v>
      </c>
      <c r="L14" s="15">
        <f>'Kalkule brødrug'!$R13*100*(1+$P14)</f>
        <v>120</v>
      </c>
      <c r="M14" s="15">
        <f>'Kalkule maltbyg'!$R12*100*(1+$P14)</f>
        <v>114.99999999999999</v>
      </c>
      <c r="N14" s="15">
        <f>'Kalkule grynhavre'!$R12*100*(1+$P14)</f>
        <v>112.5</v>
      </c>
      <c r="P14" s="67">
        <v>0</v>
      </c>
    </row>
    <row r="15" spans="1:30" x14ac:dyDescent="0.2">
      <c r="A15" s="27">
        <v>1</v>
      </c>
      <c r="B15" t="s">
        <v>114</v>
      </c>
      <c r="C15" s="15">
        <f>C$14*(1+$P15)</f>
        <v>130</v>
      </c>
      <c r="D15" s="15">
        <f>D$14*(1+$P15)</f>
        <v>130</v>
      </c>
      <c r="E15" s="15">
        <f t="shared" ref="E15:N16" si="6">E$14*(1+$P15)</f>
        <v>130</v>
      </c>
      <c r="F15" s="15">
        <f t="shared" si="6"/>
        <v>120</v>
      </c>
      <c r="G15" s="15">
        <f t="shared" si="6"/>
        <v>114.99999999999999</v>
      </c>
      <c r="H15" s="15">
        <f t="shared" si="6"/>
        <v>112.5</v>
      </c>
      <c r="I15" s="15">
        <f t="shared" si="6"/>
        <v>130</v>
      </c>
      <c r="J15" s="15">
        <f t="shared" si="6"/>
        <v>130</v>
      </c>
      <c r="K15" s="15">
        <f t="shared" si="6"/>
        <v>130</v>
      </c>
      <c r="L15" s="15">
        <f t="shared" si="6"/>
        <v>120</v>
      </c>
      <c r="M15" s="15">
        <f t="shared" si="6"/>
        <v>114.99999999999999</v>
      </c>
      <c r="N15" s="15">
        <f t="shared" si="6"/>
        <v>112.5</v>
      </c>
      <c r="P15" s="67">
        <v>0</v>
      </c>
    </row>
    <row r="16" spans="1:30" x14ac:dyDescent="0.2">
      <c r="A16" s="27">
        <v>2</v>
      </c>
      <c r="B16" t="s">
        <v>114</v>
      </c>
      <c r="C16" s="15">
        <f>C$14*(1+$P16)</f>
        <v>130</v>
      </c>
      <c r="D16" s="15">
        <f>D$14*(1+$P16)</f>
        <v>130</v>
      </c>
      <c r="E16" s="15">
        <f t="shared" si="6"/>
        <v>130</v>
      </c>
      <c r="F16" s="15">
        <f t="shared" si="6"/>
        <v>120</v>
      </c>
      <c r="G16" s="15">
        <f t="shared" si="6"/>
        <v>114.99999999999999</v>
      </c>
      <c r="H16" s="15">
        <f t="shared" si="6"/>
        <v>112.5</v>
      </c>
      <c r="I16" s="15">
        <f t="shared" si="6"/>
        <v>130</v>
      </c>
      <c r="J16" s="15">
        <f t="shared" si="6"/>
        <v>130</v>
      </c>
      <c r="K16" s="15">
        <f t="shared" si="6"/>
        <v>130</v>
      </c>
      <c r="L16" s="15">
        <f t="shared" si="6"/>
        <v>120</v>
      </c>
      <c r="M16" s="15">
        <f t="shared" si="6"/>
        <v>114.99999999999999</v>
      </c>
      <c r="N16" s="15">
        <f t="shared" si="6"/>
        <v>112.5</v>
      </c>
      <c r="P16" s="67">
        <v>0</v>
      </c>
    </row>
    <row r="17" spans="1:17" x14ac:dyDescent="0.2">
      <c r="A17" s="27">
        <v>3</v>
      </c>
      <c r="B17" t="s">
        <v>114</v>
      </c>
      <c r="C17" s="15">
        <f>C$14*(1+$P17)</f>
        <v>130</v>
      </c>
      <c r="D17" s="15">
        <f t="shared" ref="D17:N19" si="7">D$14*(1+$P17)</f>
        <v>130</v>
      </c>
      <c r="E17" s="15">
        <f t="shared" si="7"/>
        <v>130</v>
      </c>
      <c r="F17" s="15">
        <f t="shared" si="7"/>
        <v>120</v>
      </c>
      <c r="G17" s="15">
        <f t="shared" si="7"/>
        <v>114.99999999999999</v>
      </c>
      <c r="H17" s="15">
        <f t="shared" si="7"/>
        <v>112.5</v>
      </c>
      <c r="I17" s="15">
        <f t="shared" si="7"/>
        <v>130</v>
      </c>
      <c r="J17" s="15">
        <f t="shared" si="7"/>
        <v>130</v>
      </c>
      <c r="K17" s="15">
        <f t="shared" si="7"/>
        <v>130</v>
      </c>
      <c r="L17" s="15">
        <f t="shared" si="7"/>
        <v>120</v>
      </c>
      <c r="M17" s="15">
        <f t="shared" si="7"/>
        <v>114.99999999999999</v>
      </c>
      <c r="N17" s="15">
        <f t="shared" si="7"/>
        <v>112.5</v>
      </c>
      <c r="P17" s="67">
        <v>0</v>
      </c>
    </row>
    <row r="18" spans="1:17" x14ac:dyDescent="0.2">
      <c r="A18" s="27">
        <v>4</v>
      </c>
      <c r="B18" t="s">
        <v>114</v>
      </c>
      <c r="C18" s="15">
        <f>C$14*(1+$P18)</f>
        <v>130</v>
      </c>
      <c r="D18" s="15">
        <f t="shared" si="7"/>
        <v>130</v>
      </c>
      <c r="E18" s="15">
        <f t="shared" si="7"/>
        <v>130</v>
      </c>
      <c r="F18" s="15">
        <f t="shared" si="7"/>
        <v>120</v>
      </c>
      <c r="G18" s="15">
        <f t="shared" si="7"/>
        <v>114.99999999999999</v>
      </c>
      <c r="H18" s="15">
        <f t="shared" si="7"/>
        <v>112.5</v>
      </c>
      <c r="I18" s="15">
        <f t="shared" si="7"/>
        <v>130</v>
      </c>
      <c r="J18" s="15">
        <f t="shared" si="7"/>
        <v>130</v>
      </c>
      <c r="K18" s="15">
        <f t="shared" si="7"/>
        <v>130</v>
      </c>
      <c r="L18" s="15">
        <f t="shared" si="7"/>
        <v>120</v>
      </c>
      <c r="M18" s="15">
        <f t="shared" si="7"/>
        <v>114.99999999999999</v>
      </c>
      <c r="N18" s="15">
        <f t="shared" si="7"/>
        <v>112.5</v>
      </c>
      <c r="P18" s="67">
        <v>0</v>
      </c>
    </row>
    <row r="19" spans="1:17" x14ac:dyDescent="0.2">
      <c r="A19" s="27">
        <v>5</v>
      </c>
      <c r="B19" t="s">
        <v>114</v>
      </c>
      <c r="C19" s="15">
        <f>C$14*(1+$P19)</f>
        <v>130</v>
      </c>
      <c r="D19" s="15">
        <f t="shared" si="7"/>
        <v>130</v>
      </c>
      <c r="E19" s="15">
        <f t="shared" si="7"/>
        <v>130</v>
      </c>
      <c r="F19" s="15">
        <f t="shared" si="7"/>
        <v>120</v>
      </c>
      <c r="G19" s="15">
        <f t="shared" si="7"/>
        <v>114.99999999999999</v>
      </c>
      <c r="H19" s="15">
        <f t="shared" si="7"/>
        <v>112.5</v>
      </c>
      <c r="I19" s="15">
        <f t="shared" si="7"/>
        <v>130</v>
      </c>
      <c r="J19" s="15">
        <f t="shared" si="7"/>
        <v>130</v>
      </c>
      <c r="K19" s="15">
        <f t="shared" si="7"/>
        <v>130</v>
      </c>
      <c r="L19" s="15">
        <f t="shared" si="7"/>
        <v>120</v>
      </c>
      <c r="M19" s="15">
        <f t="shared" si="7"/>
        <v>114.99999999999999</v>
      </c>
      <c r="N19" s="15">
        <f t="shared" si="7"/>
        <v>112.5</v>
      </c>
      <c r="O19" s="54"/>
      <c r="P19" s="67">
        <v>0</v>
      </c>
    </row>
    <row r="20" spans="1:17" x14ac:dyDescent="0.2">
      <c r="B20" t="s">
        <v>67</v>
      </c>
      <c r="C20" s="15">
        <v>50</v>
      </c>
      <c r="D20" s="15">
        <v>50</v>
      </c>
      <c r="E20" s="15">
        <v>50</v>
      </c>
      <c r="F20" s="15">
        <v>50</v>
      </c>
      <c r="G20" s="15">
        <v>50</v>
      </c>
      <c r="H20" s="15">
        <v>50</v>
      </c>
      <c r="I20" s="15">
        <v>50</v>
      </c>
      <c r="J20" s="15">
        <v>50</v>
      </c>
      <c r="K20" s="15">
        <v>50</v>
      </c>
      <c r="L20" s="15">
        <v>50</v>
      </c>
      <c r="M20" s="15">
        <v>50</v>
      </c>
      <c r="N20" s="15">
        <v>50</v>
      </c>
      <c r="P20" s="68"/>
    </row>
    <row r="21" spans="1:17" x14ac:dyDescent="0.2">
      <c r="B21" t="s">
        <v>98</v>
      </c>
      <c r="C21" s="15">
        <f>-'Kalkule brødhvede'!L24*(1+$P21)</f>
        <v>3474.5</v>
      </c>
      <c r="D21" s="15">
        <f>-'Kalkule brødhvede'!L24*(1+$P21)</f>
        <v>3474.5</v>
      </c>
      <c r="E21" s="15">
        <f>-'Kalkule brødhvede'!L24*(1+$P21)</f>
        <v>3474.5</v>
      </c>
      <c r="F21" s="15">
        <f>-'Kalkule brødrug'!L26*(1+$P21)</f>
        <v>2959.5</v>
      </c>
      <c r="G21" s="15">
        <f>-'Kalkule maltbyg'!L25*(1+$P21)</f>
        <v>2104.5</v>
      </c>
      <c r="H21" s="15">
        <f>-'Kalkule grynhavre'!L25*(1+$P21)</f>
        <v>2192.5</v>
      </c>
      <c r="I21" s="15">
        <f>-'Kalkule brødhvede'!S24*(1+$P21)</f>
        <v>3536</v>
      </c>
      <c r="J21" s="15">
        <f>-'Kalkule brødhvede'!S24*(1+$P21)</f>
        <v>3536</v>
      </c>
      <c r="K21" s="15">
        <f>-'Kalkule brødhvede'!S24*(1+$P21)</f>
        <v>3536</v>
      </c>
      <c r="L21" s="15">
        <f>-'Kalkule brødrug'!S26*(1+$P21)</f>
        <v>2948.5</v>
      </c>
      <c r="M21" s="15">
        <f>-'Kalkule maltbyg'!S25*(1+$P21)</f>
        <v>2017</v>
      </c>
      <c r="N21" s="15">
        <f>-'Kalkule grynhavre'!S25*(1+$P21)</f>
        <v>1961</v>
      </c>
      <c r="P21" s="67">
        <v>0</v>
      </c>
    </row>
    <row r="22" spans="1:17" x14ac:dyDescent="0.2">
      <c r="B22" s="17" t="s">
        <v>68</v>
      </c>
      <c r="C22" s="18">
        <f>-'Kalkule brødhvede'!L41*(1+P22)</f>
        <v>5756.5</v>
      </c>
      <c r="D22" s="18">
        <f>-'Kalkule brødhvede'!L41*(1+Q22)</f>
        <v>5756.5</v>
      </c>
      <c r="E22" s="18">
        <f>-'Kalkule brødhvede'!L41*(1+R22)</f>
        <v>5756.5</v>
      </c>
      <c r="F22" s="18">
        <f>-'Kalkule brødrug'!L43*(1+P22)</f>
        <v>5940.5</v>
      </c>
      <c r="G22" s="18">
        <f>-'Kalkule maltbyg'!L42*(1+P22)</f>
        <v>4782</v>
      </c>
      <c r="H22" s="18">
        <f>-'Kalkule grynhavre'!L42*(1+P22)</f>
        <v>4593</v>
      </c>
      <c r="I22" s="18">
        <f>-'Kalkule brødhvede'!S38*(1+P22)</f>
        <v>6322</v>
      </c>
      <c r="J22" s="18">
        <f>-'Kalkule brødhvede'!S38*(1+Q22)</f>
        <v>6322</v>
      </c>
      <c r="K22" s="18">
        <f>-'Kalkule brødhvede'!S38*(1+R22)</f>
        <v>6322</v>
      </c>
      <c r="L22" s="18">
        <f>-'Kalkule brødrug'!S40*(1+P22)</f>
        <v>6597</v>
      </c>
      <c r="M22" s="18">
        <f>-'Kalkule maltbyg'!S39*(1+P22)</f>
        <v>5101</v>
      </c>
      <c r="N22" s="18">
        <f>-'Kalkule grynhavre'!S39*(1+P22)</f>
        <v>4732</v>
      </c>
      <c r="P22" s="67">
        <v>0</v>
      </c>
    </row>
    <row r="23" spans="1:17" s="14" customFormat="1" x14ac:dyDescent="0.2">
      <c r="B23" s="32" t="s">
        <v>99</v>
      </c>
      <c r="C23" s="16">
        <f>(C7*C14+C13*C20)/100-C21-C22</f>
        <v>1869</v>
      </c>
      <c r="D23" s="16">
        <f t="shared" ref="D23:N23" si="8">(D7*D14+D13*D20)/100-D21-D22</f>
        <v>1869</v>
      </c>
      <c r="E23" s="16">
        <f t="shared" si="8"/>
        <v>1869</v>
      </c>
      <c r="F23" s="16">
        <f t="shared" si="8"/>
        <v>3040</v>
      </c>
      <c r="G23" s="16">
        <f t="shared" si="8"/>
        <v>758.49999999999909</v>
      </c>
      <c r="H23" s="16">
        <f t="shared" si="8"/>
        <v>664.5</v>
      </c>
      <c r="I23" s="16">
        <f t="shared" si="8"/>
        <v>4372</v>
      </c>
      <c r="J23" s="16">
        <f t="shared" si="8"/>
        <v>4372</v>
      </c>
      <c r="K23" s="16">
        <f t="shared" si="8"/>
        <v>4372</v>
      </c>
      <c r="L23" s="16">
        <f t="shared" si="8"/>
        <v>4474.5</v>
      </c>
      <c r="M23" s="16">
        <f t="shared" si="8"/>
        <v>2336.9999999999982</v>
      </c>
      <c r="N23" s="16">
        <f t="shared" si="8"/>
        <v>1707</v>
      </c>
    </row>
    <row r="24" spans="1:17" x14ac:dyDescent="0.2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7" ht="24" x14ac:dyDescent="0.2">
      <c r="B25" s="32" t="s">
        <v>106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7" x14ac:dyDescent="0.2">
      <c r="B26" s="14" t="s">
        <v>70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7" x14ac:dyDescent="0.2">
      <c r="B27" s="19" t="s">
        <v>76</v>
      </c>
      <c r="C27" s="15">
        <v>500</v>
      </c>
      <c r="D27" s="15">
        <v>501</v>
      </c>
      <c r="E27" s="15">
        <v>502</v>
      </c>
      <c r="F27" s="15">
        <v>145</v>
      </c>
      <c r="G27" s="15">
        <v>215</v>
      </c>
      <c r="H27" s="15">
        <v>130</v>
      </c>
      <c r="I27" s="15">
        <v>500</v>
      </c>
      <c r="J27" s="15">
        <v>500</v>
      </c>
      <c r="K27" s="15">
        <v>501</v>
      </c>
      <c r="L27" s="15">
        <v>145</v>
      </c>
      <c r="M27" s="15">
        <v>215</v>
      </c>
      <c r="N27" s="15">
        <v>130</v>
      </c>
    </row>
    <row r="28" spans="1:17" x14ac:dyDescent="0.2">
      <c r="A28" s="23">
        <v>1</v>
      </c>
      <c r="B28" s="30" t="s">
        <v>77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P28" s="24" t="s">
        <v>94</v>
      </c>
      <c r="Q28" s="25" t="s">
        <v>74</v>
      </c>
    </row>
    <row r="29" spans="1:17" x14ac:dyDescent="0.2">
      <c r="A29" s="78">
        <v>2</v>
      </c>
      <c r="B29" t="s">
        <v>78</v>
      </c>
      <c r="C29" s="21">
        <f>0.25*$P29</f>
        <v>81.25</v>
      </c>
      <c r="D29" s="21">
        <f>0.25*$P29</f>
        <v>81.25</v>
      </c>
      <c r="E29" s="21">
        <f>0.25*$P29</f>
        <v>81.25</v>
      </c>
      <c r="F29" s="21">
        <f>0.4*$P29</f>
        <v>130</v>
      </c>
      <c r="G29" s="21">
        <f>0.2*$P29</f>
        <v>65</v>
      </c>
      <c r="H29" s="21"/>
      <c r="I29" s="21">
        <f>0.25*$P29</f>
        <v>81.25</v>
      </c>
      <c r="J29" s="21">
        <f>0.25*$P29</f>
        <v>81.25</v>
      </c>
      <c r="K29" s="21">
        <f>0.25*$P29</f>
        <v>81.25</v>
      </c>
      <c r="L29" s="21">
        <f>0.4*$P29</f>
        <v>130</v>
      </c>
      <c r="M29" s="21">
        <f>0.2*$P29</f>
        <v>65</v>
      </c>
      <c r="N29" s="21"/>
      <c r="P29">
        <v>325</v>
      </c>
      <c r="Q29" t="s">
        <v>73</v>
      </c>
    </row>
    <row r="30" spans="1:17" x14ac:dyDescent="0.2">
      <c r="A30" s="78"/>
      <c r="B30" t="s">
        <v>79</v>
      </c>
      <c r="C30" s="21">
        <f>0.85*$P30</f>
        <v>318.75</v>
      </c>
      <c r="D30" s="21">
        <f>0.85*$P30</f>
        <v>318.75</v>
      </c>
      <c r="E30" s="21">
        <f>0.85*$P30</f>
        <v>318.75</v>
      </c>
      <c r="F30" s="21"/>
      <c r="G30" s="21">
        <f>0.3*$P30</f>
        <v>112.5</v>
      </c>
      <c r="H30" s="21"/>
      <c r="I30" s="21">
        <f>0.85*$P30</f>
        <v>318.75</v>
      </c>
      <c r="J30" s="21">
        <f>0.85*$P30</f>
        <v>318.75</v>
      </c>
      <c r="K30" s="21">
        <f>0.85*$P30</f>
        <v>318.75</v>
      </c>
      <c r="L30" s="21"/>
      <c r="M30" s="21">
        <f>0.3*$P30</f>
        <v>112.5</v>
      </c>
      <c r="N30" s="21"/>
      <c r="P30">
        <v>375</v>
      </c>
      <c r="Q30" t="s">
        <v>73</v>
      </c>
    </row>
    <row r="31" spans="1:17" x14ac:dyDescent="0.2">
      <c r="A31" s="78"/>
      <c r="B31" t="s">
        <v>80</v>
      </c>
      <c r="C31" s="21">
        <f>0.4*$P31</f>
        <v>69.2</v>
      </c>
      <c r="D31" s="21">
        <f>0.4*$P31</f>
        <v>69.2</v>
      </c>
      <c r="E31" s="21">
        <f>0.4*$P31</f>
        <v>69.2</v>
      </c>
      <c r="F31" s="21"/>
      <c r="G31" s="21">
        <f>0.25*$P31</f>
        <v>43.25</v>
      </c>
      <c r="H31" s="21">
        <f>0.4*$P31</f>
        <v>69.2</v>
      </c>
      <c r="I31" s="21">
        <f>0.4*$P31</f>
        <v>69.2</v>
      </c>
      <c r="J31" s="21">
        <f>0.4*$P31</f>
        <v>69.2</v>
      </c>
      <c r="K31" s="21">
        <f>0.4*$P31</f>
        <v>69.2</v>
      </c>
      <c r="L31" s="21"/>
      <c r="M31" s="21">
        <f>0.25*$P31</f>
        <v>43.25</v>
      </c>
      <c r="N31" s="21">
        <f>0.4*$P31</f>
        <v>69.2</v>
      </c>
      <c r="P31">
        <v>173</v>
      </c>
      <c r="Q31" t="s">
        <v>73</v>
      </c>
    </row>
    <row r="32" spans="1:17" x14ac:dyDescent="0.2">
      <c r="A32" s="78">
        <v>3</v>
      </c>
      <c r="B32" t="s">
        <v>78</v>
      </c>
      <c r="C32" s="21">
        <f>0.25*$P32</f>
        <v>81.25</v>
      </c>
      <c r="D32" s="21">
        <f>0.25*$P32</f>
        <v>81.25</v>
      </c>
      <c r="E32" s="21">
        <f>0.25*$P32</f>
        <v>81.25</v>
      </c>
      <c r="F32" s="21"/>
      <c r="G32" s="21"/>
      <c r="H32" s="21"/>
      <c r="I32" s="21">
        <f>0.25*$P32</f>
        <v>81.25</v>
      </c>
      <c r="J32" s="21">
        <f>0.25*$P32</f>
        <v>81.25</v>
      </c>
      <c r="K32" s="21">
        <f>0.25*$P32</f>
        <v>81.25</v>
      </c>
      <c r="L32" s="21"/>
      <c r="M32" s="21"/>
      <c r="N32" s="21"/>
      <c r="P32">
        <v>325</v>
      </c>
      <c r="Q32" t="s">
        <v>73</v>
      </c>
    </row>
    <row r="33" spans="1:17" x14ac:dyDescent="0.2">
      <c r="A33" s="78"/>
      <c r="B33" t="s">
        <v>79</v>
      </c>
      <c r="C33" s="21">
        <f>0.7*$P33</f>
        <v>262.5</v>
      </c>
      <c r="D33" s="21">
        <f>0.7*$P33</f>
        <v>262.5</v>
      </c>
      <c r="E33" s="21">
        <f>0.7*$P33</f>
        <v>262.5</v>
      </c>
      <c r="F33" s="21"/>
      <c r="G33" s="21"/>
      <c r="H33" s="21">
        <f>0.25*$P33</f>
        <v>93.75</v>
      </c>
      <c r="I33" s="21">
        <f>0.7*$P33</f>
        <v>262.5</v>
      </c>
      <c r="J33" s="21">
        <f>0.7*$P33</f>
        <v>262.5</v>
      </c>
      <c r="K33" s="21">
        <f>0.7*$P33</f>
        <v>262.5</v>
      </c>
      <c r="L33" s="21"/>
      <c r="M33" s="21"/>
      <c r="N33" s="21">
        <f>0.25*$P33</f>
        <v>93.75</v>
      </c>
      <c r="P33">
        <v>375</v>
      </c>
      <c r="Q33" t="s">
        <v>73</v>
      </c>
    </row>
    <row r="34" spans="1:17" x14ac:dyDescent="0.2">
      <c r="A34" s="78"/>
      <c r="B34" t="s">
        <v>80</v>
      </c>
      <c r="C34" s="21">
        <f>0.4*$P34</f>
        <v>69.2</v>
      </c>
      <c r="D34" s="21">
        <f>0.4*$P34</f>
        <v>69.2</v>
      </c>
      <c r="E34" s="21">
        <f>0.4*$P34</f>
        <v>69.2</v>
      </c>
      <c r="F34" s="21"/>
      <c r="G34" s="21"/>
      <c r="H34" s="21"/>
      <c r="I34" s="21">
        <f>0.4*$P34</f>
        <v>69.2</v>
      </c>
      <c r="J34" s="21">
        <f>0.4*$P34</f>
        <v>69.2</v>
      </c>
      <c r="K34" s="21">
        <f>0.4*$P34</f>
        <v>69.2</v>
      </c>
      <c r="L34" s="21"/>
      <c r="M34" s="21"/>
      <c r="N34" s="21"/>
      <c r="P34">
        <v>173</v>
      </c>
      <c r="Q34" t="s">
        <v>73</v>
      </c>
    </row>
    <row r="35" spans="1:17" x14ac:dyDescent="0.2">
      <c r="A35" s="78"/>
      <c r="B35" t="s">
        <v>81</v>
      </c>
      <c r="C35" s="21"/>
      <c r="D35" s="21"/>
      <c r="E35" s="21"/>
      <c r="F35" s="21">
        <f>0.8*$P35</f>
        <v>276</v>
      </c>
      <c r="G35" s="21">
        <f>0.5*$P35</f>
        <v>172.5</v>
      </c>
      <c r="H35" s="21"/>
      <c r="I35" s="21"/>
      <c r="J35" s="21"/>
      <c r="K35" s="21"/>
      <c r="L35" s="21">
        <f>0.8*$P35</f>
        <v>276</v>
      </c>
      <c r="M35" s="21">
        <f>0.5*$P35</f>
        <v>172.5</v>
      </c>
      <c r="N35" s="21"/>
      <c r="P35">
        <v>345</v>
      </c>
      <c r="Q35" t="s">
        <v>73</v>
      </c>
    </row>
    <row r="36" spans="1:17" x14ac:dyDescent="0.2">
      <c r="A36" s="78"/>
      <c r="B36" t="s">
        <v>86</v>
      </c>
      <c r="C36" s="21"/>
      <c r="D36" s="21"/>
      <c r="E36" s="21"/>
      <c r="F36" s="21"/>
      <c r="G36" s="21">
        <f>0.3*$P36</f>
        <v>142.5</v>
      </c>
      <c r="H36" s="21"/>
      <c r="I36" s="21"/>
      <c r="J36" s="21"/>
      <c r="K36" s="21"/>
      <c r="L36" s="21"/>
      <c r="M36" s="21">
        <f>0.3*$P36</f>
        <v>142.5</v>
      </c>
      <c r="N36" s="21"/>
      <c r="P36">
        <v>475</v>
      </c>
      <c r="Q36" t="s">
        <v>73</v>
      </c>
    </row>
    <row r="37" spans="1:17" x14ac:dyDescent="0.2">
      <c r="A37" s="78">
        <v>4</v>
      </c>
      <c r="B37" t="s">
        <v>78</v>
      </c>
      <c r="C37" s="21">
        <f t="shared" ref="C37:E38" si="9">1*$P37</f>
        <v>325</v>
      </c>
      <c r="D37" s="21">
        <f t="shared" si="9"/>
        <v>325</v>
      </c>
      <c r="E37" s="21">
        <f t="shared" si="9"/>
        <v>325</v>
      </c>
      <c r="F37" s="21"/>
      <c r="G37" s="21"/>
      <c r="H37" s="21"/>
      <c r="I37" s="21">
        <f t="shared" ref="I37:K38" si="10">1*$P37</f>
        <v>325</v>
      </c>
      <c r="J37" s="21">
        <f t="shared" si="10"/>
        <v>325</v>
      </c>
      <c r="K37" s="21">
        <f t="shared" si="10"/>
        <v>325</v>
      </c>
      <c r="L37" s="21"/>
      <c r="M37" s="21"/>
      <c r="N37" s="21"/>
      <c r="P37">
        <v>325</v>
      </c>
      <c r="Q37" t="s">
        <v>73</v>
      </c>
    </row>
    <row r="38" spans="1:17" x14ac:dyDescent="0.2">
      <c r="A38" s="78"/>
      <c r="B38" t="s">
        <v>79</v>
      </c>
      <c r="C38" s="21">
        <f t="shared" si="9"/>
        <v>375</v>
      </c>
      <c r="D38" s="21">
        <f t="shared" si="9"/>
        <v>375</v>
      </c>
      <c r="E38" s="21">
        <f t="shared" si="9"/>
        <v>375</v>
      </c>
      <c r="F38" s="21"/>
      <c r="G38" s="21"/>
      <c r="H38" s="21">
        <f>1*$P38</f>
        <v>375</v>
      </c>
      <c r="I38" s="21">
        <f t="shared" si="10"/>
        <v>375</v>
      </c>
      <c r="J38" s="21">
        <f t="shared" si="10"/>
        <v>375</v>
      </c>
      <c r="K38" s="21">
        <f t="shared" si="10"/>
        <v>375</v>
      </c>
      <c r="L38" s="21"/>
      <c r="M38" s="21"/>
      <c r="N38" s="21">
        <f>1*$P38</f>
        <v>375</v>
      </c>
      <c r="P38">
        <v>375</v>
      </c>
      <c r="Q38" t="s">
        <v>73</v>
      </c>
    </row>
    <row r="39" spans="1:17" x14ac:dyDescent="0.2">
      <c r="A39" s="78"/>
      <c r="B39" t="s">
        <v>80</v>
      </c>
      <c r="C39" s="21">
        <f>1.2*$P39</f>
        <v>207.6</v>
      </c>
      <c r="D39" s="21">
        <f>1.2*$P39</f>
        <v>207.6</v>
      </c>
      <c r="E39" s="21">
        <f>1.2*$P39</f>
        <v>207.6</v>
      </c>
      <c r="F39" s="21"/>
      <c r="G39" s="21"/>
      <c r="H39" s="21"/>
      <c r="I39" s="21">
        <f>1.2*$P39</f>
        <v>207.6</v>
      </c>
      <c r="J39" s="21">
        <f>1.2*$P39</f>
        <v>207.6</v>
      </c>
      <c r="K39" s="21">
        <f>1.2*$P39</f>
        <v>207.6</v>
      </c>
      <c r="L39" s="21"/>
      <c r="M39" s="21"/>
      <c r="N39" s="21"/>
      <c r="P39">
        <v>173</v>
      </c>
      <c r="Q39" t="s">
        <v>73</v>
      </c>
    </row>
    <row r="40" spans="1:17" x14ac:dyDescent="0.2">
      <c r="A40" s="78"/>
      <c r="B40" t="s">
        <v>81</v>
      </c>
      <c r="C40" s="21"/>
      <c r="D40" s="21"/>
      <c r="E40" s="21"/>
      <c r="F40" s="21">
        <f>1.2*$P40</f>
        <v>414</v>
      </c>
      <c r="G40" s="21">
        <f>1.2*$P40</f>
        <v>414</v>
      </c>
      <c r="H40" s="21"/>
      <c r="I40" s="21"/>
      <c r="J40" s="21"/>
      <c r="K40" s="21"/>
      <c r="L40" s="21">
        <f>1.2*$P40</f>
        <v>414</v>
      </c>
      <c r="M40" s="21">
        <f>1.2*$P40</f>
        <v>414</v>
      </c>
      <c r="N40" s="21"/>
      <c r="P40">
        <v>345</v>
      </c>
      <c r="Q40" t="s">
        <v>73</v>
      </c>
    </row>
    <row r="41" spans="1:17" x14ac:dyDescent="0.2">
      <c r="A41" s="78"/>
      <c r="B41" t="s">
        <v>86</v>
      </c>
      <c r="C41" s="21"/>
      <c r="D41" s="21"/>
      <c r="E41" s="21"/>
      <c r="F41" s="21"/>
      <c r="G41" s="21">
        <f>0.8*$P41</f>
        <v>380</v>
      </c>
      <c r="H41" s="21"/>
      <c r="I41" s="21"/>
      <c r="J41" s="21"/>
      <c r="K41" s="21"/>
      <c r="L41" s="21"/>
      <c r="M41" s="21">
        <f>0.8*$P41</f>
        <v>380</v>
      </c>
      <c r="N41" s="21"/>
      <c r="P41">
        <v>475</v>
      </c>
      <c r="Q41" t="s">
        <v>73</v>
      </c>
    </row>
    <row r="42" spans="1:17" x14ac:dyDescent="0.2">
      <c r="A42" s="78">
        <v>5</v>
      </c>
      <c r="B42" t="s">
        <v>83</v>
      </c>
      <c r="C42" s="21">
        <f>0.4*$P42</f>
        <v>130</v>
      </c>
      <c r="D42" s="21">
        <f>0.4*$P42</f>
        <v>130</v>
      </c>
      <c r="E42" s="21">
        <f>0.4*$P42</f>
        <v>130</v>
      </c>
      <c r="F42" s="21"/>
      <c r="G42" s="21"/>
      <c r="H42" s="21"/>
      <c r="I42" s="21">
        <f>0.4*$P42</f>
        <v>130</v>
      </c>
      <c r="J42" s="21">
        <f>0.4*$P42</f>
        <v>130</v>
      </c>
      <c r="K42" s="21">
        <f>0.4*$P42</f>
        <v>130</v>
      </c>
      <c r="L42" s="21"/>
      <c r="M42" s="21"/>
      <c r="N42" s="21"/>
      <c r="P42">
        <v>325</v>
      </c>
      <c r="Q42" t="s">
        <v>73</v>
      </c>
    </row>
    <row r="43" spans="1:17" x14ac:dyDescent="0.2">
      <c r="A43" s="78"/>
      <c r="B43" t="s">
        <v>84</v>
      </c>
      <c r="C43" s="21">
        <f>1.5*$P43</f>
        <v>667.5</v>
      </c>
      <c r="D43" s="21">
        <f>1.5*$P43</f>
        <v>667.5</v>
      </c>
      <c r="E43" s="21">
        <f>1.5*$P43</f>
        <v>667.5</v>
      </c>
      <c r="F43" s="21"/>
      <c r="G43" s="21"/>
      <c r="H43" s="21"/>
      <c r="I43" s="21">
        <f>1.5*$P43</f>
        <v>667.5</v>
      </c>
      <c r="J43" s="21">
        <f>1.5*$P43</f>
        <v>667.5</v>
      </c>
      <c r="K43" s="21">
        <f>1.5*$P43</f>
        <v>667.5</v>
      </c>
      <c r="L43" s="21"/>
      <c r="M43" s="21"/>
      <c r="N43" s="21"/>
      <c r="P43" s="51">
        <v>445</v>
      </c>
      <c r="Q43" t="s">
        <v>73</v>
      </c>
    </row>
    <row r="44" spans="1:17" x14ac:dyDescent="0.2">
      <c r="A44" s="78"/>
      <c r="B44" t="s">
        <v>85</v>
      </c>
      <c r="C44" s="21">
        <f t="shared" ref="C44:N44" si="11">1*$P44</f>
        <v>205</v>
      </c>
      <c r="D44" s="21">
        <f t="shared" si="11"/>
        <v>205</v>
      </c>
      <c r="E44" s="21">
        <f t="shared" si="11"/>
        <v>205</v>
      </c>
      <c r="F44" s="21">
        <f t="shared" si="11"/>
        <v>205</v>
      </c>
      <c r="G44" s="21">
        <f t="shared" si="11"/>
        <v>205</v>
      </c>
      <c r="H44" s="21">
        <f t="shared" si="11"/>
        <v>205</v>
      </c>
      <c r="I44" s="21">
        <f t="shared" si="11"/>
        <v>205</v>
      </c>
      <c r="J44" s="21">
        <f t="shared" si="11"/>
        <v>205</v>
      </c>
      <c r="K44" s="21">
        <f t="shared" si="11"/>
        <v>205</v>
      </c>
      <c r="L44" s="21">
        <f t="shared" si="11"/>
        <v>205</v>
      </c>
      <c r="M44" s="21">
        <f t="shared" si="11"/>
        <v>205</v>
      </c>
      <c r="N44" s="21">
        <f t="shared" si="11"/>
        <v>205</v>
      </c>
      <c r="P44" s="51">
        <v>205</v>
      </c>
      <c r="Q44" t="s">
        <v>73</v>
      </c>
    </row>
    <row r="45" spans="1:17" x14ac:dyDescent="0.2">
      <c r="A45" s="78"/>
      <c r="B45" s="26" t="s">
        <v>80</v>
      </c>
      <c r="C45" s="21"/>
      <c r="D45" s="21"/>
      <c r="E45" s="21"/>
      <c r="F45" s="21">
        <f>1.2*$P45</f>
        <v>207.6</v>
      </c>
      <c r="G45" s="21">
        <f>1.25*$P45</f>
        <v>216.25</v>
      </c>
      <c r="H45" s="21">
        <f>1.2*$P45</f>
        <v>207.6</v>
      </c>
      <c r="I45" s="21"/>
      <c r="J45" s="21"/>
      <c r="K45" s="21"/>
      <c r="L45" s="21">
        <f>1.2*$P45</f>
        <v>207.6</v>
      </c>
      <c r="M45" s="21">
        <f>1.25*$P45</f>
        <v>216.25</v>
      </c>
      <c r="N45" s="21">
        <f>1.2*$P45</f>
        <v>207.6</v>
      </c>
      <c r="P45">
        <v>173</v>
      </c>
      <c r="Q45" t="s">
        <v>73</v>
      </c>
    </row>
    <row r="46" spans="1:17" x14ac:dyDescent="0.2">
      <c r="A46" s="78"/>
      <c r="B46" s="26" t="s">
        <v>79</v>
      </c>
      <c r="C46" s="21"/>
      <c r="D46" s="21"/>
      <c r="E46" s="21"/>
      <c r="F46" s="21"/>
      <c r="G46" s="21">
        <f>1*$P46</f>
        <v>375</v>
      </c>
      <c r="H46" s="21">
        <f>0.5*$P46</f>
        <v>187.5</v>
      </c>
      <c r="I46" s="21"/>
      <c r="J46" s="21"/>
      <c r="K46" s="21"/>
      <c r="L46" s="21"/>
      <c r="M46" s="21">
        <f>1*$P46</f>
        <v>375</v>
      </c>
      <c r="N46" s="21">
        <f>0.5*$P46</f>
        <v>187.5</v>
      </c>
      <c r="P46">
        <v>375</v>
      </c>
      <c r="Q46" t="s">
        <v>73</v>
      </c>
    </row>
    <row r="47" spans="1:17" ht="12.75" x14ac:dyDescent="0.2">
      <c r="A47" s="78"/>
      <c r="B47" s="33" t="s">
        <v>82</v>
      </c>
      <c r="C47" s="45"/>
      <c r="D47" s="45"/>
      <c r="E47" s="45"/>
      <c r="F47" s="18"/>
      <c r="G47" s="18">
        <f>0.45*$P47</f>
        <v>85.5</v>
      </c>
      <c r="H47" s="18"/>
      <c r="I47" s="20"/>
      <c r="J47" s="20"/>
      <c r="K47" s="20"/>
      <c r="L47" s="18"/>
      <c r="M47" s="18">
        <f>0.45*$P47</f>
        <v>85.5</v>
      </c>
      <c r="N47" s="18"/>
      <c r="P47">
        <v>190</v>
      </c>
      <c r="Q47" t="s">
        <v>73</v>
      </c>
    </row>
    <row r="48" spans="1:17" x14ac:dyDescent="0.2">
      <c r="A48" s="23"/>
      <c r="B48" s="2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20" x14ac:dyDescent="0.2">
      <c r="A49" s="22"/>
      <c r="B49" s="26" t="s">
        <v>76</v>
      </c>
      <c r="C49" s="41">
        <f t="shared" ref="C49:H49" si="12">C27</f>
        <v>500</v>
      </c>
      <c r="D49" s="41">
        <v>500</v>
      </c>
      <c r="E49" s="41">
        <v>500</v>
      </c>
      <c r="F49" s="41">
        <f t="shared" si="12"/>
        <v>145</v>
      </c>
      <c r="G49" s="41">
        <f t="shared" si="12"/>
        <v>215</v>
      </c>
      <c r="H49" s="41">
        <f t="shared" si="12"/>
        <v>130</v>
      </c>
      <c r="I49" s="41">
        <f>I27</f>
        <v>500</v>
      </c>
      <c r="J49" s="43">
        <f>J27</f>
        <v>500</v>
      </c>
      <c r="K49" s="43">
        <v>500</v>
      </c>
      <c r="L49" s="43">
        <f t="shared" ref="L49:N49" si="13">L27</f>
        <v>145</v>
      </c>
      <c r="M49" s="43">
        <f t="shared" si="13"/>
        <v>215</v>
      </c>
      <c r="N49" s="43">
        <f t="shared" si="13"/>
        <v>130</v>
      </c>
      <c r="P49" t="s">
        <v>96</v>
      </c>
    </row>
    <row r="50" spans="1:20" ht="12.75" x14ac:dyDescent="0.2">
      <c r="A50" s="23">
        <v>1</v>
      </c>
      <c r="B50" s="22"/>
      <c r="C50" s="49">
        <f t="shared" ref="C50:N50" si="14">SUM(C28)</f>
        <v>0</v>
      </c>
      <c r="D50" s="49">
        <f t="shared" ref="D50:E50" si="15">SUM(D28)</f>
        <v>0</v>
      </c>
      <c r="E50" s="49">
        <f t="shared" si="15"/>
        <v>0</v>
      </c>
      <c r="F50" s="49">
        <f t="shared" si="14"/>
        <v>0</v>
      </c>
      <c r="G50" s="49">
        <f t="shared" si="14"/>
        <v>0</v>
      </c>
      <c r="H50" s="49">
        <f t="shared" si="14"/>
        <v>0</v>
      </c>
      <c r="I50" s="42">
        <f t="shared" si="14"/>
        <v>0</v>
      </c>
      <c r="J50" s="28">
        <f t="shared" ref="J50:K50" si="16">SUM(J28)</f>
        <v>0</v>
      </c>
      <c r="K50" s="28">
        <f t="shared" si="16"/>
        <v>0</v>
      </c>
      <c r="L50" s="28">
        <f t="shared" si="14"/>
        <v>0</v>
      </c>
      <c r="M50" s="28">
        <f t="shared" si="14"/>
        <v>0</v>
      </c>
      <c r="N50" s="28">
        <f t="shared" si="14"/>
        <v>0</v>
      </c>
      <c r="P50" t="s">
        <v>95</v>
      </c>
    </row>
    <row r="51" spans="1:20" ht="12.75" x14ac:dyDescent="0.2">
      <c r="A51" s="23">
        <v>2</v>
      </c>
      <c r="B51" s="22"/>
      <c r="C51" s="49">
        <f t="shared" ref="C51:N51" si="17">SUM(C29:C31)</f>
        <v>469.2</v>
      </c>
      <c r="D51" s="49">
        <f>SUM(D29:D31)</f>
        <v>469.2</v>
      </c>
      <c r="E51" s="49">
        <f t="shared" ref="E51" si="18">SUM(E29:E31)</f>
        <v>469.2</v>
      </c>
      <c r="F51" s="49">
        <f t="shared" si="17"/>
        <v>130</v>
      </c>
      <c r="G51" s="49">
        <f t="shared" si="17"/>
        <v>220.75</v>
      </c>
      <c r="H51" s="49">
        <f t="shared" si="17"/>
        <v>69.2</v>
      </c>
      <c r="I51" s="42">
        <f>SUM(I29:I31)</f>
        <v>469.2</v>
      </c>
      <c r="J51" s="28">
        <f>SUM(J29:J31)</f>
        <v>469.2</v>
      </c>
      <c r="K51" s="28">
        <f>SUM(K29:K31)</f>
        <v>469.2</v>
      </c>
      <c r="L51" s="28">
        <f t="shared" si="17"/>
        <v>130</v>
      </c>
      <c r="M51" s="28">
        <f t="shared" si="17"/>
        <v>220.75</v>
      </c>
      <c r="N51" s="28">
        <f t="shared" si="17"/>
        <v>69.2</v>
      </c>
    </row>
    <row r="52" spans="1:20" ht="12.75" x14ac:dyDescent="0.2">
      <c r="A52" s="23">
        <v>3</v>
      </c>
      <c r="B52" s="22"/>
      <c r="C52" s="49">
        <f t="shared" ref="C52:N52" si="19">SUM(C32:C36)</f>
        <v>412.95</v>
      </c>
      <c r="D52" s="49">
        <f t="shared" ref="D52:E52" si="20">SUM(D32:D36)</f>
        <v>412.95</v>
      </c>
      <c r="E52" s="49">
        <f t="shared" si="20"/>
        <v>412.95</v>
      </c>
      <c r="F52" s="49">
        <f t="shared" si="19"/>
        <v>276</v>
      </c>
      <c r="G52" s="49">
        <f t="shared" si="19"/>
        <v>315</v>
      </c>
      <c r="H52" s="49">
        <f t="shared" si="19"/>
        <v>93.75</v>
      </c>
      <c r="I52" s="42">
        <f t="shared" si="19"/>
        <v>412.95</v>
      </c>
      <c r="J52" s="28">
        <f t="shared" ref="J52:K52" si="21">SUM(J32:J36)</f>
        <v>412.95</v>
      </c>
      <c r="K52" s="28">
        <f t="shared" si="21"/>
        <v>412.95</v>
      </c>
      <c r="L52" s="28">
        <f t="shared" si="19"/>
        <v>276</v>
      </c>
      <c r="M52" s="28">
        <f t="shared" si="19"/>
        <v>315</v>
      </c>
      <c r="N52" s="28">
        <f t="shared" si="19"/>
        <v>93.75</v>
      </c>
    </row>
    <row r="53" spans="1:20" ht="12.75" x14ac:dyDescent="0.2">
      <c r="A53" s="27">
        <v>4</v>
      </c>
      <c r="B53" s="22"/>
      <c r="C53" s="49">
        <f t="shared" ref="C53:N53" si="22">SUM(C37:C41)</f>
        <v>907.6</v>
      </c>
      <c r="D53" s="49">
        <f t="shared" ref="D53:E53" si="23">SUM(D37:D41)</f>
        <v>907.6</v>
      </c>
      <c r="E53" s="49">
        <f t="shared" si="23"/>
        <v>907.6</v>
      </c>
      <c r="F53" s="49">
        <f t="shared" si="22"/>
        <v>414</v>
      </c>
      <c r="G53" s="49">
        <f t="shared" si="22"/>
        <v>794</v>
      </c>
      <c r="H53" s="49">
        <f t="shared" si="22"/>
        <v>375</v>
      </c>
      <c r="I53" s="42">
        <f t="shared" si="22"/>
        <v>907.6</v>
      </c>
      <c r="J53" s="28">
        <f t="shared" ref="J53:K53" si="24">SUM(J37:J41)</f>
        <v>907.6</v>
      </c>
      <c r="K53" s="28">
        <f t="shared" si="24"/>
        <v>907.6</v>
      </c>
      <c r="L53" s="28">
        <f t="shared" si="22"/>
        <v>414</v>
      </c>
      <c r="M53" s="28">
        <f t="shared" si="22"/>
        <v>794</v>
      </c>
      <c r="N53" s="28">
        <f t="shared" si="22"/>
        <v>375</v>
      </c>
    </row>
    <row r="54" spans="1:20" ht="12.75" x14ac:dyDescent="0.2">
      <c r="A54" s="27">
        <v>5</v>
      </c>
      <c r="B54" s="22"/>
      <c r="C54" s="49">
        <f t="shared" ref="C54:N54" si="25">SUM(C42:C47)</f>
        <v>1002.5</v>
      </c>
      <c r="D54" s="49">
        <f t="shared" ref="D54:E54" si="26">SUM(D42:D47)</f>
        <v>1002.5</v>
      </c>
      <c r="E54" s="49">
        <f t="shared" si="26"/>
        <v>1002.5</v>
      </c>
      <c r="F54" s="49">
        <f t="shared" si="25"/>
        <v>412.6</v>
      </c>
      <c r="G54" s="49">
        <f t="shared" si="25"/>
        <v>881.75</v>
      </c>
      <c r="H54" s="49">
        <f t="shared" si="25"/>
        <v>600.1</v>
      </c>
      <c r="I54" s="42">
        <f t="shared" si="25"/>
        <v>1002.5</v>
      </c>
      <c r="J54" s="28">
        <f t="shared" ref="J54:K54" si="27">SUM(J42:J47)</f>
        <v>1002.5</v>
      </c>
      <c r="K54" s="28">
        <f t="shared" si="27"/>
        <v>1002.5</v>
      </c>
      <c r="L54" s="28">
        <f t="shared" si="25"/>
        <v>412.6</v>
      </c>
      <c r="M54" s="28">
        <f t="shared" si="25"/>
        <v>881.75</v>
      </c>
      <c r="N54" s="28">
        <f t="shared" si="25"/>
        <v>600.1</v>
      </c>
    </row>
    <row r="55" spans="1:20" x14ac:dyDescent="0.2">
      <c r="A55" s="26"/>
      <c r="B55" s="22"/>
      <c r="C55" s="15"/>
      <c r="D55" s="15"/>
      <c r="E55" s="15"/>
      <c r="F55" s="15"/>
      <c r="G55" s="15"/>
      <c r="H55" s="15"/>
      <c r="I55" s="15"/>
      <c r="J55" s="43"/>
      <c r="K55" s="43"/>
      <c r="L55" s="43"/>
      <c r="M55" s="43"/>
      <c r="N55" s="43"/>
    </row>
    <row r="56" spans="1:20" ht="24" x14ac:dyDescent="0.2">
      <c r="B56" s="32" t="s">
        <v>105</v>
      </c>
      <c r="C56" s="15"/>
      <c r="D56" s="15"/>
      <c r="E56" s="15"/>
      <c r="F56" s="15"/>
      <c r="G56" s="15"/>
      <c r="H56" s="15"/>
      <c r="I56" s="15"/>
      <c r="J56" s="43"/>
      <c r="K56" s="43"/>
      <c r="L56" s="43"/>
      <c r="M56" s="43"/>
      <c r="N56" s="43"/>
    </row>
    <row r="57" spans="1:20" x14ac:dyDescent="0.2">
      <c r="B57" s="19" t="s">
        <v>76</v>
      </c>
      <c r="C57" s="21">
        <f>3*$P57</f>
        <v>540</v>
      </c>
      <c r="D57" s="21">
        <f>3*$P57</f>
        <v>540</v>
      </c>
      <c r="E57" s="21">
        <f>3*$P57</f>
        <v>540</v>
      </c>
      <c r="F57" s="21">
        <f>2*$P57</f>
        <v>360</v>
      </c>
      <c r="G57" s="21">
        <f>2*$P57</f>
        <v>360</v>
      </c>
      <c r="H57" s="21">
        <f>1*$P57</f>
        <v>180</v>
      </c>
      <c r="I57" s="21">
        <f>3*$P57</f>
        <v>540</v>
      </c>
      <c r="J57" s="69">
        <f>3*$P57</f>
        <v>540</v>
      </c>
      <c r="K57" s="69">
        <f>3*$P57</f>
        <v>540</v>
      </c>
      <c r="L57" s="69">
        <f>2*$P57</f>
        <v>360</v>
      </c>
      <c r="M57" s="69">
        <f>2*$P57</f>
        <v>360</v>
      </c>
      <c r="N57" s="69">
        <f>1*$P57</f>
        <v>180</v>
      </c>
      <c r="P57">
        <v>180</v>
      </c>
      <c r="Q57" t="s">
        <v>75</v>
      </c>
    </row>
    <row r="58" spans="1:20" x14ac:dyDescent="0.2">
      <c r="A58" s="13">
        <v>1</v>
      </c>
      <c r="B58" t="s">
        <v>72</v>
      </c>
      <c r="C58" s="41">
        <f t="shared" ref="C58:N58" si="28">0*$P58</f>
        <v>0</v>
      </c>
      <c r="D58" s="41">
        <f t="shared" si="28"/>
        <v>0</v>
      </c>
      <c r="E58" s="41">
        <f t="shared" si="28"/>
        <v>0</v>
      </c>
      <c r="F58" s="41">
        <f t="shared" si="28"/>
        <v>0</v>
      </c>
      <c r="G58" s="41">
        <f t="shared" si="28"/>
        <v>0</v>
      </c>
      <c r="H58" s="41">
        <f t="shared" si="28"/>
        <v>0</v>
      </c>
      <c r="I58" s="41">
        <f t="shared" si="28"/>
        <v>0</v>
      </c>
      <c r="J58" s="43">
        <f t="shared" si="28"/>
        <v>0</v>
      </c>
      <c r="K58" s="43">
        <f t="shared" si="28"/>
        <v>0</v>
      </c>
      <c r="L58" s="43">
        <f t="shared" si="28"/>
        <v>0</v>
      </c>
      <c r="M58" s="43">
        <f t="shared" si="28"/>
        <v>0</v>
      </c>
      <c r="N58" s="43">
        <f t="shared" si="28"/>
        <v>0</v>
      </c>
      <c r="P58">
        <v>120</v>
      </c>
      <c r="Q58" t="s">
        <v>75</v>
      </c>
    </row>
    <row r="59" spans="1:20" x14ac:dyDescent="0.2">
      <c r="A59" s="13">
        <v>2</v>
      </c>
      <c r="B59" t="s">
        <v>103</v>
      </c>
      <c r="C59" s="41">
        <f t="shared" ref="C59:E62" si="29">3*$P59</f>
        <v>360</v>
      </c>
      <c r="D59" s="41">
        <f t="shared" si="29"/>
        <v>360</v>
      </c>
      <c r="E59" s="41">
        <f t="shared" si="29"/>
        <v>360</v>
      </c>
      <c r="F59" s="41">
        <f>1*$P59</f>
        <v>120</v>
      </c>
      <c r="G59" s="41">
        <f>2*$P59</f>
        <v>240</v>
      </c>
      <c r="H59" s="41">
        <f>1*$P59</f>
        <v>120</v>
      </c>
      <c r="I59" s="41">
        <f t="shared" ref="I59:K62" si="30">3*$P59</f>
        <v>360</v>
      </c>
      <c r="J59" s="43">
        <f t="shared" si="30"/>
        <v>360</v>
      </c>
      <c r="K59" s="43">
        <f t="shared" si="30"/>
        <v>360</v>
      </c>
      <c r="L59" s="43">
        <f>1*$P59</f>
        <v>120</v>
      </c>
      <c r="M59" s="43">
        <f>2*$P59</f>
        <v>240</v>
      </c>
      <c r="N59" s="43">
        <f>1*$P59</f>
        <v>120</v>
      </c>
      <c r="P59">
        <v>120</v>
      </c>
      <c r="Q59" t="s">
        <v>75</v>
      </c>
    </row>
    <row r="60" spans="1:20" x14ac:dyDescent="0.2">
      <c r="A60" s="13">
        <v>3</v>
      </c>
      <c r="B60" t="s">
        <v>103</v>
      </c>
      <c r="C60" s="41">
        <f t="shared" si="29"/>
        <v>360</v>
      </c>
      <c r="D60" s="41">
        <f t="shared" si="29"/>
        <v>360</v>
      </c>
      <c r="E60" s="41">
        <f t="shared" si="29"/>
        <v>360</v>
      </c>
      <c r="F60" s="41">
        <f>2*$P60</f>
        <v>240</v>
      </c>
      <c r="G60" s="41">
        <f t="shared" ref="G60:G61" si="31">2*$P60</f>
        <v>240</v>
      </c>
      <c r="H60" s="41">
        <f t="shared" ref="H60:H61" si="32">1*$P60</f>
        <v>120</v>
      </c>
      <c r="I60" s="41">
        <f t="shared" si="30"/>
        <v>360</v>
      </c>
      <c r="J60" s="43">
        <f t="shared" si="30"/>
        <v>360</v>
      </c>
      <c r="K60" s="43">
        <f t="shared" si="30"/>
        <v>360</v>
      </c>
      <c r="L60" s="43">
        <f>2*$P60</f>
        <v>240</v>
      </c>
      <c r="M60" s="43">
        <f t="shared" ref="M60:M61" si="33">2*$P60</f>
        <v>240</v>
      </c>
      <c r="N60" s="43">
        <f t="shared" ref="N60:N61" si="34">1*$P60</f>
        <v>120</v>
      </c>
      <c r="P60">
        <v>120</v>
      </c>
      <c r="Q60" t="s">
        <v>75</v>
      </c>
    </row>
    <row r="61" spans="1:20" x14ac:dyDescent="0.2">
      <c r="A61" s="13">
        <v>4</v>
      </c>
      <c r="B61" t="s">
        <v>103</v>
      </c>
      <c r="C61" s="41">
        <f t="shared" si="29"/>
        <v>360</v>
      </c>
      <c r="D61" s="41">
        <f t="shared" si="29"/>
        <v>360</v>
      </c>
      <c r="E61" s="41">
        <f t="shared" si="29"/>
        <v>360</v>
      </c>
      <c r="F61" s="41">
        <f t="shared" ref="F61:F62" si="35">2*$P61</f>
        <v>240</v>
      </c>
      <c r="G61" s="41">
        <f t="shared" si="31"/>
        <v>240</v>
      </c>
      <c r="H61" s="41">
        <f t="shared" si="32"/>
        <v>120</v>
      </c>
      <c r="I61" s="41">
        <f t="shared" si="30"/>
        <v>360</v>
      </c>
      <c r="J61" s="43">
        <f t="shared" si="30"/>
        <v>360</v>
      </c>
      <c r="K61" s="43">
        <f t="shared" si="30"/>
        <v>360</v>
      </c>
      <c r="L61" s="43">
        <f t="shared" ref="L61:L62" si="36">2*$P61</f>
        <v>240</v>
      </c>
      <c r="M61" s="43">
        <f t="shared" si="33"/>
        <v>240</v>
      </c>
      <c r="N61" s="43">
        <f t="shared" si="34"/>
        <v>120</v>
      </c>
      <c r="P61">
        <v>120</v>
      </c>
      <c r="Q61" t="s">
        <v>75</v>
      </c>
    </row>
    <row r="62" spans="1:20" x14ac:dyDescent="0.2">
      <c r="A62" s="13">
        <v>5</v>
      </c>
      <c r="B62" s="17" t="s">
        <v>103</v>
      </c>
      <c r="C62" s="44">
        <f t="shared" si="29"/>
        <v>360</v>
      </c>
      <c r="D62" s="44">
        <f t="shared" si="29"/>
        <v>360</v>
      </c>
      <c r="E62" s="44">
        <f t="shared" si="29"/>
        <v>360</v>
      </c>
      <c r="F62" s="44">
        <f t="shared" si="35"/>
        <v>240</v>
      </c>
      <c r="G62" s="44">
        <f>3*$P62</f>
        <v>360</v>
      </c>
      <c r="H62" s="44">
        <f>2*$P62</f>
        <v>240</v>
      </c>
      <c r="I62" s="44">
        <f t="shared" si="30"/>
        <v>360</v>
      </c>
      <c r="J62" s="70">
        <f t="shared" si="30"/>
        <v>360</v>
      </c>
      <c r="K62" s="70">
        <f t="shared" si="30"/>
        <v>360</v>
      </c>
      <c r="L62" s="70">
        <f t="shared" si="36"/>
        <v>240</v>
      </c>
      <c r="M62" s="70">
        <f>3*$P62</f>
        <v>360</v>
      </c>
      <c r="N62" s="70">
        <f>2*$P62</f>
        <v>240</v>
      </c>
      <c r="P62">
        <v>120</v>
      </c>
      <c r="Q62" t="s">
        <v>75</v>
      </c>
    </row>
    <row r="63" spans="1:20" x14ac:dyDescent="0.2">
      <c r="A63" s="13"/>
      <c r="B63" s="22"/>
      <c r="C63" s="44"/>
      <c r="D63" s="44"/>
      <c r="E63" s="44"/>
      <c r="F63" s="44"/>
      <c r="G63" s="44"/>
      <c r="H63" s="44"/>
      <c r="I63" s="44"/>
      <c r="J63" s="70"/>
      <c r="K63" s="70"/>
      <c r="L63" s="70"/>
      <c r="M63" s="70"/>
      <c r="N63" s="70"/>
    </row>
    <row r="64" spans="1:20" ht="39.75" customHeight="1" x14ac:dyDescent="0.2">
      <c r="C64" s="74" t="s">
        <v>115</v>
      </c>
      <c r="D64" s="74"/>
      <c r="E64" s="74"/>
      <c r="F64" s="74"/>
      <c r="G64" s="74"/>
      <c r="H64" s="74"/>
      <c r="I64" s="75" t="s">
        <v>63</v>
      </c>
      <c r="J64" s="75"/>
      <c r="K64" s="75"/>
      <c r="L64" s="75"/>
      <c r="M64" s="75"/>
      <c r="N64" s="75"/>
      <c r="Q64" s="71" t="s">
        <v>69</v>
      </c>
      <c r="R64" s="71"/>
      <c r="S64" s="72" t="s">
        <v>127</v>
      </c>
      <c r="T64" s="71"/>
    </row>
    <row r="65" spans="1:20" ht="24" x14ac:dyDescent="0.2">
      <c r="B65" s="14" t="s">
        <v>69</v>
      </c>
      <c r="C65" s="31" t="s">
        <v>59</v>
      </c>
      <c r="D65" s="50" t="s">
        <v>59</v>
      </c>
      <c r="E65" s="50" t="s">
        <v>110</v>
      </c>
      <c r="F65" s="31" t="s">
        <v>60</v>
      </c>
      <c r="G65" s="31" t="s">
        <v>61</v>
      </c>
      <c r="H65" s="31" t="s">
        <v>62</v>
      </c>
      <c r="I65" s="31" t="s">
        <v>59</v>
      </c>
      <c r="J65" s="50" t="s">
        <v>59</v>
      </c>
      <c r="K65" s="50" t="s">
        <v>110</v>
      </c>
      <c r="L65" s="31" t="s">
        <v>60</v>
      </c>
      <c r="M65" s="31" t="s">
        <v>61</v>
      </c>
      <c r="N65" s="31" t="s">
        <v>62</v>
      </c>
      <c r="P65" s="32"/>
      <c r="Q65" s="64" t="s">
        <v>126</v>
      </c>
      <c r="R65" s="64" t="s">
        <v>125</v>
      </c>
      <c r="S65" s="64" t="str">
        <f>Q$65</f>
        <v>Brødhvede JB2&amp;4</v>
      </c>
      <c r="T65" s="64" t="str">
        <f>R$65</f>
        <v>Brødhvede JB5&amp;6</v>
      </c>
    </row>
    <row r="66" spans="1:20" x14ac:dyDescent="0.2">
      <c r="B66" s="19" t="s">
        <v>76</v>
      </c>
      <c r="C66" s="46">
        <f>(C7*C$14+C$13*C$20)/100-C$21-C$22</f>
        <v>1869</v>
      </c>
      <c r="D66" s="55">
        <f t="shared" ref="D66:N66" si="37">(D7*D$14+D$13*D$20)/100-D$21-D$22</f>
        <v>1869</v>
      </c>
      <c r="E66" s="55">
        <f t="shared" si="37"/>
        <v>1869</v>
      </c>
      <c r="F66" s="55">
        <f t="shared" si="37"/>
        <v>3040</v>
      </c>
      <c r="G66" s="55">
        <f t="shared" si="37"/>
        <v>758.49999999999909</v>
      </c>
      <c r="H66" s="55">
        <f t="shared" si="37"/>
        <v>664.5</v>
      </c>
      <c r="I66" s="55">
        <f t="shared" si="37"/>
        <v>4372</v>
      </c>
      <c r="J66" s="55">
        <f t="shared" si="37"/>
        <v>4372</v>
      </c>
      <c r="K66" s="55">
        <f t="shared" si="37"/>
        <v>4372</v>
      </c>
      <c r="L66" s="55">
        <f t="shared" si="37"/>
        <v>4474.5</v>
      </c>
      <c r="M66" s="55">
        <f t="shared" si="37"/>
        <v>2336.9999999999982</v>
      </c>
      <c r="N66" s="55">
        <f t="shared" si="37"/>
        <v>1707</v>
      </c>
      <c r="P66" s="19" t="s">
        <v>76</v>
      </c>
      <c r="Q66" s="55">
        <f>D66</f>
        <v>1869</v>
      </c>
      <c r="R66" s="55">
        <f>J66</f>
        <v>4372</v>
      </c>
      <c r="S66" s="55"/>
      <c r="T66" s="55"/>
    </row>
    <row r="67" spans="1:20" x14ac:dyDescent="0.2">
      <c r="A67" s="23">
        <v>1</v>
      </c>
      <c r="B67" s="36" t="s">
        <v>97</v>
      </c>
      <c r="C67" s="46">
        <f>(C8*C$15+C$13*C$20)/100-C$21-C$22+C$49-C50+C$57-C58</f>
        <v>4497</v>
      </c>
      <c r="D67" s="55">
        <f t="shared" ref="D67:N67" si="38">(D8*D$15+D$13*D$20)/100-D$21-D$22+D$49-D50+D$57-D58</f>
        <v>2958</v>
      </c>
      <c r="E67" s="55">
        <f t="shared" si="38"/>
        <v>-1985</v>
      </c>
      <c r="F67" s="55">
        <f t="shared" si="38"/>
        <v>1951.8615384615387</v>
      </c>
      <c r="G67" s="55">
        <f t="shared" si="38"/>
        <v>1326.2223880597003</v>
      </c>
      <c r="H67" s="55">
        <f t="shared" si="38"/>
        <v>2272.2250000000004</v>
      </c>
      <c r="I67" s="55">
        <f t="shared" si="38"/>
        <v>7476.4</v>
      </c>
      <c r="J67" s="55">
        <f t="shared" si="38"/>
        <v>5475.7000000000007</v>
      </c>
      <c r="K67" s="55">
        <f t="shared" si="38"/>
        <v>-950.19999999999982</v>
      </c>
      <c r="L67" s="55">
        <f t="shared" si="38"/>
        <v>3096.7000000000007</v>
      </c>
      <c r="M67" s="55">
        <f t="shared" si="38"/>
        <v>2902.7999999999993</v>
      </c>
      <c r="N67" s="55">
        <f t="shared" si="38"/>
        <v>3514.375</v>
      </c>
      <c r="P67" s="36" t="s">
        <v>97</v>
      </c>
      <c r="Q67" s="55">
        <f t="shared" ref="Q67:Q71" si="39">D67</f>
        <v>2958</v>
      </c>
      <c r="R67" s="55">
        <f t="shared" ref="R67:R71" si="40">J67</f>
        <v>5475.7000000000007</v>
      </c>
      <c r="S67" s="55"/>
      <c r="T67" s="55"/>
    </row>
    <row r="68" spans="1:20" x14ac:dyDescent="0.2">
      <c r="A68" s="23">
        <v>2</v>
      </c>
      <c r="B68" s="36" t="s">
        <v>87</v>
      </c>
      <c r="C68" s="46">
        <f>(C9*C$16+C$13*C$20)/100-C$21-C$22+C$49-C51+C$57-C59</f>
        <v>3917.8</v>
      </c>
      <c r="D68" s="55">
        <f t="shared" ref="D68:N68" si="41">(D9*D$16+D$13*D$20)/100-D$21-D$22+D$49-D51+D$57-D59</f>
        <v>2449.3000000000002</v>
      </c>
      <c r="E68" s="55">
        <f t="shared" si="41"/>
        <v>534.79999999999995</v>
      </c>
      <c r="F68" s="55">
        <f t="shared" si="41"/>
        <v>1803.3999999999996</v>
      </c>
      <c r="G68" s="55">
        <f t="shared" si="41"/>
        <v>1138.3828358208948</v>
      </c>
      <c r="H68" s="55">
        <f t="shared" si="41"/>
        <v>2005.0250000000005</v>
      </c>
      <c r="I68" s="55">
        <f t="shared" si="41"/>
        <v>6972.2000000000016</v>
      </c>
      <c r="J68" s="55">
        <f t="shared" si="41"/>
        <v>5063.1500000000005</v>
      </c>
      <c r="K68" s="55">
        <f t="shared" si="41"/>
        <v>2574.3000000000002</v>
      </c>
      <c r="L68" s="55">
        <f t="shared" si="41"/>
        <v>2966.7000000000007</v>
      </c>
      <c r="M68" s="55">
        <f t="shared" si="41"/>
        <v>2787.0499999999993</v>
      </c>
      <c r="N68" s="55">
        <f t="shared" si="41"/>
        <v>3235.1750000000002</v>
      </c>
      <c r="P68" s="36" t="s">
        <v>87</v>
      </c>
      <c r="Q68" s="55">
        <f t="shared" si="39"/>
        <v>2449.3000000000002</v>
      </c>
      <c r="R68" s="55">
        <f t="shared" si="40"/>
        <v>5063.1500000000005</v>
      </c>
      <c r="S68" s="55">
        <f>D74</f>
        <v>-508.69999999999982</v>
      </c>
      <c r="T68" s="55">
        <f>J74</f>
        <v>-412.55000000000018</v>
      </c>
    </row>
    <row r="69" spans="1:20" x14ac:dyDescent="0.2">
      <c r="A69" s="23">
        <v>3</v>
      </c>
      <c r="B69" s="36" t="s">
        <v>88</v>
      </c>
      <c r="C69" s="46">
        <f>(C10*C$17+C$13*C$20)/100-C$21-C$22+C$49-C52+C$57-C60</f>
        <v>3894.05</v>
      </c>
      <c r="D69" s="55">
        <f t="shared" ref="D69:N69" si="42">(D10*D$17+D$13*D$20)/100-D$21-D$22+D$49-D52+D$57-D60</f>
        <v>2446.0500000000002</v>
      </c>
      <c r="E69" s="55">
        <f t="shared" si="42"/>
        <v>611.04999999999995</v>
      </c>
      <c r="F69" s="55">
        <f t="shared" si="42"/>
        <v>1608.4769230769252</v>
      </c>
      <c r="G69" s="55">
        <f t="shared" si="42"/>
        <v>953.16268656716329</v>
      </c>
      <c r="H69" s="55">
        <f t="shared" si="42"/>
        <v>2038.9750000000004</v>
      </c>
      <c r="I69" s="55">
        <f t="shared" si="42"/>
        <v>6924.4500000000016</v>
      </c>
      <c r="J69" s="55">
        <f t="shared" si="42"/>
        <v>5042.05</v>
      </c>
      <c r="K69" s="55">
        <f t="shared" si="42"/>
        <v>2656.55</v>
      </c>
      <c r="L69" s="55">
        <f t="shared" si="42"/>
        <v>2784.7000000000007</v>
      </c>
      <c r="M69" s="55">
        <f t="shared" si="42"/>
        <v>2577.7999999999993</v>
      </c>
      <c r="N69" s="55">
        <f t="shared" si="42"/>
        <v>3278.125</v>
      </c>
      <c r="P69" s="36" t="s">
        <v>88</v>
      </c>
      <c r="Q69" s="55">
        <f t="shared" si="39"/>
        <v>2446.0500000000002</v>
      </c>
      <c r="R69" s="55">
        <f t="shared" si="40"/>
        <v>5042.05</v>
      </c>
      <c r="S69" s="55">
        <f>D75</f>
        <v>-511.94999999999982</v>
      </c>
      <c r="T69" s="55">
        <f>J75</f>
        <v>-433.65000000000055</v>
      </c>
    </row>
    <row r="70" spans="1:20" x14ac:dyDescent="0.2">
      <c r="A70" s="27">
        <v>4</v>
      </c>
      <c r="B70" s="36" t="s">
        <v>89</v>
      </c>
      <c r="C70" s="46">
        <f>(C11*C$18+C$13*C$20)/100-C$21-C$22+C$49-C53+C$57-C61</f>
        <v>3899.3999999999996</v>
      </c>
      <c r="D70" s="55">
        <f t="shared" ref="D70:N70" si="43">(D11*D$18+D$13*D$20)/100-D$21-D$22+D$49-D53+D$57-D61</f>
        <v>2275.4</v>
      </c>
      <c r="E70" s="55">
        <f t="shared" si="43"/>
        <v>322.39999999999998</v>
      </c>
      <c r="F70" s="55">
        <f t="shared" si="43"/>
        <v>1470.4769230769252</v>
      </c>
      <c r="G70" s="55">
        <f t="shared" si="43"/>
        <v>683.39402985074594</v>
      </c>
      <c r="H70" s="55">
        <f t="shared" si="43"/>
        <v>1884.4750000000004</v>
      </c>
      <c r="I70" s="55">
        <f t="shared" si="43"/>
        <v>7079.8000000000011</v>
      </c>
      <c r="J70" s="55">
        <f t="shared" si="43"/>
        <v>4968.6000000000004</v>
      </c>
      <c r="K70" s="55">
        <f t="shared" si="43"/>
        <v>2429.6999999999994</v>
      </c>
      <c r="L70" s="55">
        <f t="shared" si="43"/>
        <v>2646.7000000000007</v>
      </c>
      <c r="M70" s="55">
        <f t="shared" si="43"/>
        <v>2363.2999999999993</v>
      </c>
      <c r="N70" s="55">
        <f t="shared" si="43"/>
        <v>3143.125</v>
      </c>
      <c r="P70" s="36" t="s">
        <v>89</v>
      </c>
      <c r="Q70" s="55">
        <f t="shared" si="39"/>
        <v>2275.4</v>
      </c>
      <c r="R70" s="55">
        <f t="shared" si="40"/>
        <v>4968.6000000000004</v>
      </c>
      <c r="S70" s="55">
        <f>D76</f>
        <v>-682.59999999999991</v>
      </c>
      <c r="T70" s="55">
        <f>J76</f>
        <v>-507.10000000000036</v>
      </c>
    </row>
    <row r="71" spans="1:20" x14ac:dyDescent="0.2">
      <c r="A71" s="27">
        <v>5</v>
      </c>
      <c r="B71" s="36" t="s">
        <v>90</v>
      </c>
      <c r="C71" s="47">
        <f>(C12*C$19+C$13*C$20)/100-C$21-C$22+C$49-C54+C$57-C62</f>
        <v>3214.4999999999982</v>
      </c>
      <c r="D71" s="56">
        <f t="shared" ref="D71:N71" si="44">(D12*D$19+D$13*D$20)/100-D$21-D$22+D$49-D54+D$57-D62</f>
        <v>1698</v>
      </c>
      <c r="E71" s="56">
        <f t="shared" si="44"/>
        <v>-128.5</v>
      </c>
      <c r="F71" s="56">
        <f t="shared" si="44"/>
        <v>1492.184615384615</v>
      </c>
      <c r="G71" s="56">
        <f t="shared" si="44"/>
        <v>357.3828358208948</v>
      </c>
      <c r="H71" s="56">
        <f t="shared" si="44"/>
        <v>886.12500000000045</v>
      </c>
      <c r="I71" s="56">
        <f t="shared" si="44"/>
        <v>6217.9000000000015</v>
      </c>
      <c r="J71" s="56">
        <f t="shared" si="44"/>
        <v>4246.4500000000007</v>
      </c>
      <c r="K71" s="56">
        <f t="shared" si="44"/>
        <v>1872</v>
      </c>
      <c r="L71" s="56">
        <f t="shared" si="44"/>
        <v>2672.1000000000008</v>
      </c>
      <c r="M71" s="56">
        <f t="shared" si="44"/>
        <v>2006.0499999999993</v>
      </c>
      <c r="N71" s="56">
        <f t="shared" si="44"/>
        <v>2044.2750000000001</v>
      </c>
      <c r="P71" s="36" t="s">
        <v>90</v>
      </c>
      <c r="Q71" s="55">
        <f t="shared" si="39"/>
        <v>1698</v>
      </c>
      <c r="R71" s="55">
        <f t="shared" si="40"/>
        <v>4246.4500000000007</v>
      </c>
      <c r="S71" s="55">
        <f>D77</f>
        <v>-1260</v>
      </c>
      <c r="T71" s="55">
        <f>J77</f>
        <v>-1229.25</v>
      </c>
    </row>
    <row r="72" spans="1:20" x14ac:dyDescent="0.2">
      <c r="C72" s="74" t="s">
        <v>115</v>
      </c>
      <c r="D72" s="74"/>
      <c r="E72" s="74"/>
      <c r="F72" s="74"/>
      <c r="G72" s="74"/>
      <c r="H72" s="74"/>
      <c r="I72" s="75" t="s">
        <v>63</v>
      </c>
      <c r="J72" s="75"/>
      <c r="K72" s="75"/>
      <c r="L72" s="75"/>
      <c r="M72" s="75"/>
      <c r="N72" s="75"/>
    </row>
    <row r="73" spans="1:20" ht="24" x14ac:dyDescent="0.2">
      <c r="B73" s="32" t="s">
        <v>101</v>
      </c>
      <c r="C73" s="31" t="s">
        <v>59</v>
      </c>
      <c r="D73" s="50" t="s">
        <v>59</v>
      </c>
      <c r="E73" s="50" t="s">
        <v>110</v>
      </c>
      <c r="F73" s="31" t="s">
        <v>60</v>
      </c>
      <c r="G73" s="31" t="s">
        <v>61</v>
      </c>
      <c r="H73" s="31" t="s">
        <v>62</v>
      </c>
      <c r="I73" s="31" t="s">
        <v>59</v>
      </c>
      <c r="J73" s="50" t="s">
        <v>59</v>
      </c>
      <c r="K73" s="50" t="s">
        <v>110</v>
      </c>
      <c r="L73" s="31" t="s">
        <v>60</v>
      </c>
      <c r="M73" s="31" t="s">
        <v>61</v>
      </c>
      <c r="N73" s="31" t="s">
        <v>62</v>
      </c>
      <c r="P73" s="32"/>
    </row>
    <row r="74" spans="1:20" x14ac:dyDescent="0.2">
      <c r="A74" s="27" t="s">
        <v>87</v>
      </c>
      <c r="B74" s="36" t="s">
        <v>87</v>
      </c>
      <c r="C74" s="46">
        <f>C68-C$67</f>
        <v>-579.19999999999982</v>
      </c>
      <c r="D74" s="55">
        <f t="shared" ref="D74:E74" si="45">D68-D$67</f>
        <v>-508.69999999999982</v>
      </c>
      <c r="E74" s="55">
        <f t="shared" si="45"/>
        <v>2519.8000000000002</v>
      </c>
      <c r="F74" s="55">
        <f t="shared" ref="F74:N74" si="46">F68-F$67</f>
        <v>-148.46153846153902</v>
      </c>
      <c r="G74" s="55">
        <f t="shared" si="46"/>
        <v>-187.83955223880548</v>
      </c>
      <c r="H74" s="55">
        <f t="shared" si="46"/>
        <v>-267.19999999999982</v>
      </c>
      <c r="I74" s="57">
        <f t="shared" si="46"/>
        <v>-504.199999999998</v>
      </c>
      <c r="J74" s="57">
        <f t="shared" ref="J74:K74" si="47">J68-J$67</f>
        <v>-412.55000000000018</v>
      </c>
      <c r="K74" s="57">
        <f t="shared" si="47"/>
        <v>3524.5</v>
      </c>
      <c r="L74" s="57">
        <f t="shared" si="46"/>
        <v>-130</v>
      </c>
      <c r="M74" s="57">
        <f t="shared" si="46"/>
        <v>-115.75</v>
      </c>
      <c r="N74" s="57">
        <f t="shared" si="46"/>
        <v>-279.19999999999982</v>
      </c>
      <c r="P74" s="36"/>
    </row>
    <row r="75" spans="1:20" x14ac:dyDescent="0.2">
      <c r="A75" s="27" t="s">
        <v>88</v>
      </c>
      <c r="B75" s="36" t="s">
        <v>88</v>
      </c>
      <c r="C75" s="46">
        <f t="shared" ref="C75:N75" si="48">C69-C$67</f>
        <v>-602.94999999999982</v>
      </c>
      <c r="D75" s="55">
        <f t="shared" ref="D75:E75" si="49">D69-D$67</f>
        <v>-511.94999999999982</v>
      </c>
      <c r="E75" s="55">
        <f t="shared" si="49"/>
        <v>2596.0500000000002</v>
      </c>
      <c r="F75" s="55">
        <f t="shared" si="48"/>
        <v>-343.38461538461343</v>
      </c>
      <c r="G75" s="55">
        <f t="shared" si="48"/>
        <v>-373.05970149253699</v>
      </c>
      <c r="H75" s="55">
        <f t="shared" si="48"/>
        <v>-233.25</v>
      </c>
      <c r="I75" s="57">
        <f t="shared" si="48"/>
        <v>-551.949999999998</v>
      </c>
      <c r="J75" s="57">
        <f t="shared" ref="J75:K75" si="50">J69-J$67</f>
        <v>-433.65000000000055</v>
      </c>
      <c r="K75" s="57">
        <f t="shared" si="50"/>
        <v>3606.75</v>
      </c>
      <c r="L75" s="57">
        <f t="shared" si="48"/>
        <v>-312</v>
      </c>
      <c r="M75" s="57">
        <f t="shared" si="48"/>
        <v>-325</v>
      </c>
      <c r="N75" s="57">
        <f t="shared" si="48"/>
        <v>-236.25</v>
      </c>
      <c r="P75" s="36"/>
    </row>
    <row r="76" spans="1:20" x14ac:dyDescent="0.2">
      <c r="A76" s="27" t="s">
        <v>89</v>
      </c>
      <c r="B76" s="36" t="s">
        <v>89</v>
      </c>
      <c r="C76" s="46">
        <f t="shared" ref="C76:N77" si="51">C70-C$67</f>
        <v>-597.60000000000036</v>
      </c>
      <c r="D76" s="55">
        <f t="shared" ref="D76:E76" si="52">D70-D$67</f>
        <v>-682.59999999999991</v>
      </c>
      <c r="E76" s="55">
        <f t="shared" si="52"/>
        <v>2307.4</v>
      </c>
      <c r="F76" s="55">
        <f t="shared" si="51"/>
        <v>-481.38461538461343</v>
      </c>
      <c r="G76" s="55">
        <f t="shared" si="51"/>
        <v>-642.82835820895434</v>
      </c>
      <c r="H76" s="55">
        <f t="shared" si="51"/>
        <v>-387.75</v>
      </c>
      <c r="I76" s="57">
        <f t="shared" si="51"/>
        <v>-396.59999999999854</v>
      </c>
      <c r="J76" s="57">
        <f t="shared" ref="J76:K76" si="53">J70-J$67</f>
        <v>-507.10000000000036</v>
      </c>
      <c r="K76" s="57">
        <f t="shared" si="53"/>
        <v>3379.8999999999992</v>
      </c>
      <c r="L76" s="57">
        <f t="shared" si="51"/>
        <v>-450</v>
      </c>
      <c r="M76" s="57">
        <f t="shared" si="51"/>
        <v>-539.5</v>
      </c>
      <c r="N76" s="57">
        <f t="shared" si="51"/>
        <v>-371.25</v>
      </c>
      <c r="P76" s="36"/>
    </row>
    <row r="77" spans="1:20" x14ac:dyDescent="0.2">
      <c r="A77" s="27" t="s">
        <v>90</v>
      </c>
      <c r="B77" s="36" t="s">
        <v>90</v>
      </c>
      <c r="C77" s="46">
        <f t="shared" si="51"/>
        <v>-1282.5000000000018</v>
      </c>
      <c r="D77" s="55">
        <f t="shared" ref="D77:E77" si="54">D71-D$67</f>
        <v>-1260</v>
      </c>
      <c r="E77" s="55">
        <f t="shared" si="54"/>
        <v>1856.5</v>
      </c>
      <c r="F77" s="55">
        <f t="shared" si="51"/>
        <v>-459.67692307692369</v>
      </c>
      <c r="G77" s="55">
        <f t="shared" si="51"/>
        <v>-968.83955223880548</v>
      </c>
      <c r="H77" s="55">
        <f t="shared" si="51"/>
        <v>-1386.1</v>
      </c>
      <c r="I77" s="57">
        <f t="shared" si="51"/>
        <v>-1258.4999999999982</v>
      </c>
      <c r="J77" s="57">
        <f t="shared" ref="J77:K77" si="55">J71-J$67</f>
        <v>-1229.25</v>
      </c>
      <c r="K77" s="57">
        <f t="shared" si="55"/>
        <v>2822.2</v>
      </c>
      <c r="L77" s="57">
        <f t="shared" si="51"/>
        <v>-424.59999999999991</v>
      </c>
      <c r="M77" s="57">
        <f t="shared" si="51"/>
        <v>-896.75</v>
      </c>
      <c r="N77" s="57">
        <f t="shared" si="51"/>
        <v>-1470.1</v>
      </c>
      <c r="P77" s="36"/>
    </row>
    <row r="78" spans="1:20" ht="41.25" customHeight="1" x14ac:dyDescent="0.2">
      <c r="A78" s="27"/>
      <c r="B78" s="58"/>
      <c r="C78" s="76" t="s">
        <v>115</v>
      </c>
      <c r="D78" s="76"/>
      <c r="E78" s="76"/>
      <c r="F78" s="76"/>
      <c r="G78" s="76"/>
      <c r="H78" s="76"/>
      <c r="I78" s="77" t="s">
        <v>63</v>
      </c>
      <c r="J78" s="77"/>
      <c r="K78" s="77"/>
      <c r="L78" s="77"/>
      <c r="M78" s="77"/>
      <c r="N78" s="77"/>
      <c r="P78" s="58"/>
      <c r="Q78" s="73" t="s">
        <v>129</v>
      </c>
      <c r="R78" s="73"/>
      <c r="S78" s="71" t="s">
        <v>128</v>
      </c>
      <c r="T78" s="71"/>
    </row>
    <row r="79" spans="1:20" ht="24" x14ac:dyDescent="0.2">
      <c r="A79" s="27"/>
      <c r="B79" s="59" t="s">
        <v>120</v>
      </c>
      <c r="C79" s="60" t="s">
        <v>59</v>
      </c>
      <c r="D79" s="61" t="s">
        <v>59</v>
      </c>
      <c r="E79" s="61" t="s">
        <v>110</v>
      </c>
      <c r="F79" s="60" t="s">
        <v>60</v>
      </c>
      <c r="G79" s="60" t="s">
        <v>61</v>
      </c>
      <c r="H79" s="60" t="s">
        <v>62</v>
      </c>
      <c r="I79" s="60" t="s">
        <v>59</v>
      </c>
      <c r="J79" s="61" t="s">
        <v>59</v>
      </c>
      <c r="K79" s="61" t="s">
        <v>110</v>
      </c>
      <c r="L79" s="60" t="s">
        <v>60</v>
      </c>
      <c r="M79" s="60" t="s">
        <v>61</v>
      </c>
      <c r="N79" s="60" t="s">
        <v>62</v>
      </c>
      <c r="P79" s="65" t="s">
        <v>130</v>
      </c>
      <c r="Q79" s="64" t="str">
        <f>Q$65</f>
        <v>Brødhvede JB2&amp;4</v>
      </c>
      <c r="R79" s="64" t="str">
        <f>R$65</f>
        <v>Brødhvede JB5&amp;6</v>
      </c>
      <c r="S79" s="64" t="str">
        <f>Q$65</f>
        <v>Brødhvede JB2&amp;4</v>
      </c>
      <c r="T79" s="64" t="str">
        <f>R$65</f>
        <v>Brødhvede JB5&amp;6</v>
      </c>
    </row>
    <row r="80" spans="1:20" x14ac:dyDescent="0.2">
      <c r="A80" s="27"/>
      <c r="B80" s="58" t="s">
        <v>122</v>
      </c>
      <c r="C80" s="62">
        <f>-C$74+C75</f>
        <v>-23.75</v>
      </c>
      <c r="D80" s="55">
        <f t="shared" ref="D80:N80" si="56">-D$74+D75</f>
        <v>-3.25</v>
      </c>
      <c r="E80" s="55">
        <f t="shared" si="56"/>
        <v>76.25</v>
      </c>
      <c r="F80" s="55">
        <f t="shared" si="56"/>
        <v>-194.9230769230744</v>
      </c>
      <c r="G80" s="55">
        <f t="shared" si="56"/>
        <v>-185.22014925373151</v>
      </c>
      <c r="H80" s="55">
        <f t="shared" si="56"/>
        <v>33.949999999999818</v>
      </c>
      <c r="I80" s="55">
        <f t="shared" si="56"/>
        <v>-47.75</v>
      </c>
      <c r="J80" s="55">
        <f t="shared" si="56"/>
        <v>-21.100000000000364</v>
      </c>
      <c r="K80" s="55">
        <f t="shared" si="56"/>
        <v>82.25</v>
      </c>
      <c r="L80" s="55">
        <f t="shared" si="56"/>
        <v>-182</v>
      </c>
      <c r="M80" s="55">
        <f t="shared" si="56"/>
        <v>-209.25</v>
      </c>
      <c r="N80" s="55">
        <f t="shared" si="56"/>
        <v>42.949999999999818</v>
      </c>
      <c r="P80" s="58" t="s">
        <v>122</v>
      </c>
      <c r="Q80" s="55">
        <f>D80</f>
        <v>-3.25</v>
      </c>
      <c r="R80" s="55">
        <f>J80</f>
        <v>-21.100000000000364</v>
      </c>
      <c r="S80" s="63">
        <f>D85</f>
        <v>4.4899043570648299E-2</v>
      </c>
      <c r="T80" s="63">
        <f>J85</f>
        <v>0.22422954303931952</v>
      </c>
    </row>
    <row r="81" spans="1:29" x14ac:dyDescent="0.2">
      <c r="A81" s="27"/>
      <c r="B81" s="58" t="s">
        <v>123</v>
      </c>
      <c r="C81" s="62">
        <f t="shared" ref="C81:N82" si="57">-C$74+C76</f>
        <v>-18.400000000000546</v>
      </c>
      <c r="D81" s="55">
        <f t="shared" si="57"/>
        <v>-173.90000000000009</v>
      </c>
      <c r="E81" s="55">
        <f t="shared" si="57"/>
        <v>-212.40000000000009</v>
      </c>
      <c r="F81" s="55">
        <f t="shared" si="57"/>
        <v>-332.9230769230744</v>
      </c>
      <c r="G81" s="55">
        <f t="shared" si="57"/>
        <v>-454.98880597014886</v>
      </c>
      <c r="H81" s="55">
        <f t="shared" si="57"/>
        <v>-120.55000000000018</v>
      </c>
      <c r="I81" s="55">
        <f t="shared" si="57"/>
        <v>107.59999999999945</v>
      </c>
      <c r="J81" s="55">
        <f t="shared" si="57"/>
        <v>-94.550000000000182</v>
      </c>
      <c r="K81" s="55">
        <f t="shared" si="57"/>
        <v>-144.60000000000082</v>
      </c>
      <c r="L81" s="55">
        <f t="shared" si="57"/>
        <v>-320</v>
      </c>
      <c r="M81" s="55">
        <f t="shared" si="57"/>
        <v>-423.75</v>
      </c>
      <c r="N81" s="55">
        <f t="shared" si="57"/>
        <v>-92.050000000000182</v>
      </c>
      <c r="P81" s="58" t="s">
        <v>123</v>
      </c>
      <c r="Q81" s="55">
        <f t="shared" ref="Q81:Q82" si="58">D81</f>
        <v>-173.90000000000009</v>
      </c>
      <c r="R81" s="55">
        <f t="shared" ref="R81:R82" si="59">J81</f>
        <v>-94.550000000000182</v>
      </c>
      <c r="S81" s="63">
        <f>D86</f>
        <v>2.3224779124717374</v>
      </c>
      <c r="T81" s="63">
        <f>J86</f>
        <v>0.97133757961783451</v>
      </c>
    </row>
    <row r="82" spans="1:29" x14ac:dyDescent="0.2">
      <c r="A82" s="27"/>
      <c r="B82" s="58" t="s">
        <v>124</v>
      </c>
      <c r="C82" s="62">
        <f t="shared" si="57"/>
        <v>-703.300000000002</v>
      </c>
      <c r="D82" s="55">
        <f t="shared" si="57"/>
        <v>-751.30000000000018</v>
      </c>
      <c r="E82" s="55">
        <f t="shared" si="57"/>
        <v>-663.30000000000018</v>
      </c>
      <c r="F82" s="55">
        <f t="shared" si="57"/>
        <v>-311.21538461538466</v>
      </c>
      <c r="G82" s="55">
        <f t="shared" si="57"/>
        <v>-781</v>
      </c>
      <c r="H82" s="55">
        <f t="shared" si="57"/>
        <v>-1118.9000000000001</v>
      </c>
      <c r="I82" s="55">
        <f t="shared" si="57"/>
        <v>-754.30000000000018</v>
      </c>
      <c r="J82" s="55">
        <f t="shared" si="57"/>
        <v>-816.69999999999982</v>
      </c>
      <c r="K82" s="55">
        <f t="shared" si="57"/>
        <v>-702.30000000000018</v>
      </c>
      <c r="L82" s="55">
        <f t="shared" si="57"/>
        <v>-294.59999999999991</v>
      </c>
      <c r="M82" s="55">
        <f t="shared" si="57"/>
        <v>-781</v>
      </c>
      <c r="N82" s="55">
        <f t="shared" si="57"/>
        <v>-1190.9000000000001</v>
      </c>
      <c r="P82" s="58" t="s">
        <v>124</v>
      </c>
      <c r="Q82" s="55">
        <f t="shared" si="58"/>
        <v>-751.30000000000018</v>
      </c>
      <c r="R82" s="55">
        <f t="shared" si="59"/>
        <v>-816.69999999999982</v>
      </c>
      <c r="S82" s="63">
        <f>D87</f>
        <v>10.557098848835324</v>
      </c>
      <c r="T82" s="63">
        <f>J87</f>
        <v>8.8277576609198505</v>
      </c>
    </row>
    <row r="83" spans="1:29" x14ac:dyDescent="0.2">
      <c r="A83" s="27"/>
      <c r="B83" s="36"/>
      <c r="C83" s="74" t="s">
        <v>115</v>
      </c>
      <c r="D83" s="74"/>
      <c r="E83" s="74"/>
      <c r="F83" s="74"/>
      <c r="G83" s="74"/>
      <c r="H83" s="74"/>
      <c r="I83" s="75" t="s">
        <v>63</v>
      </c>
      <c r="J83" s="75"/>
      <c r="K83" s="75"/>
      <c r="L83" s="75"/>
      <c r="M83" s="75"/>
      <c r="N83" s="75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22.5" x14ac:dyDescent="0.2">
      <c r="A84" s="27"/>
      <c r="B84" s="52" t="s">
        <v>121</v>
      </c>
      <c r="C84" s="31" t="s">
        <v>59</v>
      </c>
      <c r="D84" s="50" t="s">
        <v>59</v>
      </c>
      <c r="E84" s="50" t="s">
        <v>110</v>
      </c>
      <c r="F84" s="31" t="s">
        <v>60</v>
      </c>
      <c r="G84" s="31" t="s">
        <v>61</v>
      </c>
      <c r="H84" s="31" t="s">
        <v>62</v>
      </c>
      <c r="I84" s="31" t="s">
        <v>59</v>
      </c>
      <c r="J84" s="50" t="s">
        <v>59</v>
      </c>
      <c r="K84" s="50" t="s">
        <v>110</v>
      </c>
      <c r="L84" s="31" t="s">
        <v>60</v>
      </c>
      <c r="M84" s="31" t="s">
        <v>61</v>
      </c>
      <c r="N84" s="31" t="s">
        <v>62</v>
      </c>
      <c r="P84" s="66"/>
    </row>
    <row r="85" spans="1:29" x14ac:dyDescent="0.2">
      <c r="A85" s="27"/>
      <c r="B85" s="36" t="s">
        <v>117</v>
      </c>
      <c r="C85" s="53">
        <f>((C$9-C10)*C17/100+C52-C$51+C60-C$59)/C10*100</f>
        <v>0.28435255111440544</v>
      </c>
      <c r="D85" s="63">
        <f t="shared" ref="D85:N85" si="60">((D$9-D10)*D17/100+D52-D$51+D60-D$59)/D10*100</f>
        <v>4.4899043570648299E-2</v>
      </c>
      <c r="E85" s="63">
        <f t="shared" si="60"/>
        <v>-1.3085808580858056</v>
      </c>
      <c r="F85" s="63">
        <f t="shared" si="60"/>
        <v>2.9913470505601345</v>
      </c>
      <c r="G85" s="63">
        <f t="shared" si="60"/>
        <v>3.3973625422967912</v>
      </c>
      <c r="H85" s="63">
        <f t="shared" si="60"/>
        <v>-0.53581010700419818</v>
      </c>
      <c r="I85" s="63">
        <f t="shared" si="60"/>
        <v>0.43976791305949581</v>
      </c>
      <c r="J85" s="63">
        <f t="shared" si="60"/>
        <v>0.22422954303931952</v>
      </c>
      <c r="K85" s="63">
        <f t="shared" si="60"/>
        <v>-1.0858085808580857</v>
      </c>
      <c r="L85" s="63">
        <f t="shared" si="60"/>
        <v>2.3633294377353593</v>
      </c>
      <c r="M85" s="63">
        <f t="shared" si="60"/>
        <v>3.0361288450377248</v>
      </c>
      <c r="N85" s="63">
        <f t="shared" si="60"/>
        <v>-0.58747093420872665</v>
      </c>
      <c r="P85" s="36"/>
    </row>
    <row r="86" spans="1:29" x14ac:dyDescent="0.2">
      <c r="A86" s="27"/>
      <c r="B86" s="36" t="s">
        <v>118</v>
      </c>
      <c r="C86" s="53">
        <f t="shared" ref="C86:N87" si="61">((C$9-C11)*C18/100+C53-C$51+C61-C$59)/C11*100</f>
        <v>0.21060045782709957</v>
      </c>
      <c r="D86" s="63">
        <f t="shared" si="61"/>
        <v>2.3224779124717374</v>
      </c>
      <c r="E86" s="63">
        <f t="shared" si="61"/>
        <v>3.5486441331448528</v>
      </c>
      <c r="F86" s="63">
        <f t="shared" si="61"/>
        <v>5.1091357674918196</v>
      </c>
      <c r="G86" s="63">
        <f t="shared" si="61"/>
        <v>8.0760253903662864</v>
      </c>
      <c r="H86" s="63">
        <f t="shared" si="61"/>
        <v>1.8693207075144935</v>
      </c>
      <c r="I86" s="63">
        <f t="shared" si="61"/>
        <v>-0.94734988554322919</v>
      </c>
      <c r="J86" s="63">
        <f t="shared" si="61"/>
        <v>0.97133757961783451</v>
      </c>
      <c r="K86" s="63">
        <f t="shared" si="61"/>
        <v>1.8583729597738075</v>
      </c>
      <c r="L86" s="63">
        <f t="shared" si="61"/>
        <v>4.1553045059083233</v>
      </c>
      <c r="M86" s="63">
        <f t="shared" si="61"/>
        <v>5.9498736310025269</v>
      </c>
      <c r="N86" s="63">
        <f t="shared" si="61"/>
        <v>1.2370649106302918</v>
      </c>
      <c r="P86" s="36"/>
    </row>
    <row r="87" spans="1:29" x14ac:dyDescent="0.2">
      <c r="A87" s="27"/>
      <c r="B87" s="36" t="s">
        <v>119</v>
      </c>
      <c r="C87" s="53">
        <f t="shared" si="61"/>
        <v>8.4908060921248385</v>
      </c>
      <c r="D87" s="63">
        <f t="shared" si="61"/>
        <v>10.557098848835324</v>
      </c>
      <c r="E87" s="63">
        <f t="shared" si="61"/>
        <v>11.613333333333333</v>
      </c>
      <c r="F87" s="63">
        <f t="shared" si="61"/>
        <v>4.7636316539308288</v>
      </c>
      <c r="G87" s="63">
        <f t="shared" si="61"/>
        <v>14.120450325979018</v>
      </c>
      <c r="H87" s="63">
        <f t="shared" si="61"/>
        <v>19.067175624552654</v>
      </c>
      <c r="I87" s="63">
        <f t="shared" si="61"/>
        <v>7.0050148588410108</v>
      </c>
      <c r="J87" s="63">
        <f t="shared" si="61"/>
        <v>8.8277576609198505</v>
      </c>
      <c r="K87" s="63">
        <f t="shared" si="61"/>
        <v>9.4585858585858578</v>
      </c>
      <c r="L87" s="63">
        <f t="shared" si="61"/>
        <v>3.8155679316150763</v>
      </c>
      <c r="M87" s="63">
        <f t="shared" si="61"/>
        <v>11.169908466819221</v>
      </c>
      <c r="N87" s="63">
        <f>((N$9-N12)*N19/100+N54-N$51+N62-N$59)/N12*100</f>
        <v>17.588243981686603</v>
      </c>
      <c r="P87" s="36"/>
    </row>
    <row r="88" spans="1:29" x14ac:dyDescent="0.2">
      <c r="A88" s="27"/>
      <c r="B88" s="36"/>
      <c r="C88" s="46"/>
      <c r="D88" s="46"/>
      <c r="E88" s="46"/>
      <c r="F88" s="46"/>
      <c r="G88" s="46"/>
      <c r="H88" s="46"/>
      <c r="I88" s="29"/>
      <c r="J88" s="29"/>
      <c r="K88" s="29"/>
      <c r="L88" s="29"/>
      <c r="M88" s="29"/>
      <c r="N88" s="29"/>
    </row>
    <row r="89" spans="1:29" x14ac:dyDescent="0.2">
      <c r="B89" s="3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9"/>
    </row>
    <row r="90" spans="1:29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</sheetData>
  <mergeCells count="18">
    <mergeCell ref="C83:H83"/>
    <mergeCell ref="I83:N83"/>
    <mergeCell ref="A37:A41"/>
    <mergeCell ref="C72:H72"/>
    <mergeCell ref="I72:N72"/>
    <mergeCell ref="A29:A31"/>
    <mergeCell ref="A32:A36"/>
    <mergeCell ref="C64:H64"/>
    <mergeCell ref="I64:N64"/>
    <mergeCell ref="A42:A47"/>
    <mergeCell ref="Q64:R64"/>
    <mergeCell ref="S64:T64"/>
    <mergeCell ref="Q78:R78"/>
    <mergeCell ref="S78:T78"/>
    <mergeCell ref="C4:H4"/>
    <mergeCell ref="I4:N4"/>
    <mergeCell ref="C78:H78"/>
    <mergeCell ref="I78:N78"/>
  </mergeCells>
  <pageMargins left="0.7" right="0.7" top="0.75" bottom="0.75" header="0.3" footer="0.3"/>
  <pageSetup paperSize="9" scale="82" fitToHeight="0" orientation="portrait" r:id="rId1"/>
  <rowBreaks count="1" manualBreakCount="1">
    <brk id="88" max="1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opLeftCell="A7" zoomScale="130" zoomScaleNormal="130" workbookViewId="0">
      <selection activeCell="T26" sqref="T26"/>
    </sheetView>
  </sheetViews>
  <sheetFormatPr defaultRowHeight="12" x14ac:dyDescent="0.2"/>
  <cols>
    <col min="1" max="1" width="27.5703125" customWidth="1"/>
    <col min="6" max="6" width="4.85546875" customWidth="1"/>
    <col min="11" max="11" width="4.7109375" customWidth="1"/>
    <col min="16" max="16" width="4.7109375" customWidth="1"/>
  </cols>
  <sheetData>
    <row r="1" spans="1:20" ht="18" x14ac:dyDescent="0.25">
      <c r="A1" s="40" t="s">
        <v>116</v>
      </c>
    </row>
    <row r="3" spans="1:20" s="39" customFormat="1" ht="15" x14ac:dyDescent="0.25">
      <c r="B3" s="39" t="s">
        <v>59</v>
      </c>
      <c r="G3" s="39" t="s">
        <v>111</v>
      </c>
      <c r="L3" s="39" t="s">
        <v>61</v>
      </c>
      <c r="Q3" s="39" t="s">
        <v>62</v>
      </c>
    </row>
    <row r="5" spans="1:20" ht="15" x14ac:dyDescent="0.25">
      <c r="A5" s="3" t="s">
        <v>10</v>
      </c>
      <c r="B5" s="4" t="s">
        <v>11</v>
      </c>
      <c r="C5" s="4" t="s">
        <v>12</v>
      </c>
      <c r="D5" s="4" t="s">
        <v>13</v>
      </c>
      <c r="E5" s="4" t="s">
        <v>14</v>
      </c>
      <c r="G5" s="4" t="s">
        <v>11</v>
      </c>
      <c r="H5" s="4" t="s">
        <v>12</v>
      </c>
      <c r="I5" s="4" t="s">
        <v>13</v>
      </c>
      <c r="J5" s="4" t="s">
        <v>14</v>
      </c>
      <c r="L5" s="4" t="s">
        <v>11</v>
      </c>
      <c r="M5" s="4" t="s">
        <v>12</v>
      </c>
      <c r="N5" s="4" t="s">
        <v>13</v>
      </c>
      <c r="O5" s="4" t="s">
        <v>14</v>
      </c>
      <c r="Q5" s="4" t="s">
        <v>11</v>
      </c>
      <c r="R5" s="4" t="s">
        <v>12</v>
      </c>
      <c r="S5" s="4" t="s">
        <v>13</v>
      </c>
      <c r="T5" s="4" t="s">
        <v>14</v>
      </c>
    </row>
    <row r="6" spans="1:20" ht="15" x14ac:dyDescent="0.25">
      <c r="A6" s="5" t="s">
        <v>15</v>
      </c>
      <c r="B6" s="6"/>
      <c r="C6" s="7" t="s">
        <v>12</v>
      </c>
      <c r="D6" s="6"/>
      <c r="E6" s="6"/>
      <c r="G6" s="6"/>
      <c r="H6" s="7" t="s">
        <v>12</v>
      </c>
      <c r="I6" s="6"/>
      <c r="J6" s="6"/>
      <c r="L6" s="6"/>
      <c r="M6" s="7" t="s">
        <v>12</v>
      </c>
      <c r="N6" s="6"/>
      <c r="O6" s="6"/>
      <c r="Q6" s="6"/>
      <c r="R6" s="7" t="s">
        <v>12</v>
      </c>
      <c r="S6" s="6"/>
      <c r="T6" s="6"/>
    </row>
    <row r="7" spans="1:20" ht="15" x14ac:dyDescent="0.25">
      <c r="A7" s="8" t="s">
        <v>16</v>
      </c>
      <c r="B7" s="9">
        <f>Simulering!I7</f>
        <v>9100</v>
      </c>
      <c r="C7" s="7" t="s">
        <v>17</v>
      </c>
      <c r="D7" s="10">
        <f>Simulering!I14/100</f>
        <v>1.3</v>
      </c>
      <c r="E7" s="9">
        <f>B7*D7</f>
        <v>11830</v>
      </c>
      <c r="G7" s="9">
        <f>Simulering!L7</f>
        <v>9100</v>
      </c>
      <c r="H7" s="7" t="s">
        <v>17</v>
      </c>
      <c r="I7" s="10">
        <f>Simulering!L14/100</f>
        <v>1.2</v>
      </c>
      <c r="J7" s="9">
        <f>G7*I7</f>
        <v>10920</v>
      </c>
      <c r="L7" s="9">
        <f>Simulering!M7</f>
        <v>6700</v>
      </c>
      <c r="M7" s="7" t="s">
        <v>17</v>
      </c>
      <c r="N7" s="10">
        <f>Simulering!M14/100</f>
        <v>1.1499999999999999</v>
      </c>
      <c r="O7" s="9">
        <f>L7*N7</f>
        <v>7704.9999999999991</v>
      </c>
      <c r="Q7" s="9">
        <f>Simulering!N7</f>
        <v>6000</v>
      </c>
      <c r="R7" s="7" t="s">
        <v>17</v>
      </c>
      <c r="S7" s="10">
        <f>Simulering!N14/100</f>
        <v>1.125</v>
      </c>
      <c r="T7" s="9">
        <f>Q7*S7</f>
        <v>6750</v>
      </c>
    </row>
    <row r="8" spans="1:20" ht="15" x14ac:dyDescent="0.25">
      <c r="A8" s="8" t="s">
        <v>18</v>
      </c>
      <c r="B8" s="9">
        <v>4800</v>
      </c>
      <c r="C8" s="7" t="s">
        <v>17</v>
      </c>
      <c r="D8" s="10">
        <v>0.5</v>
      </c>
      <c r="E8" s="9">
        <f>B8*D8</f>
        <v>2400</v>
      </c>
      <c r="G8" s="9">
        <v>6200</v>
      </c>
      <c r="H8" s="7" t="s">
        <v>17</v>
      </c>
      <c r="I8" s="10">
        <v>0.5</v>
      </c>
      <c r="J8" s="9">
        <f>G8*I8</f>
        <v>3100</v>
      </c>
      <c r="L8" s="9">
        <v>3500</v>
      </c>
      <c r="M8" s="7" t="s">
        <v>17</v>
      </c>
      <c r="N8" s="10">
        <v>0.5</v>
      </c>
      <c r="O8" s="9">
        <f>L8*N8</f>
        <v>1750</v>
      </c>
      <c r="Q8" s="9">
        <v>3300</v>
      </c>
      <c r="R8" s="7" t="s">
        <v>17</v>
      </c>
      <c r="S8" s="10">
        <v>0.5</v>
      </c>
      <c r="T8" s="9">
        <f>Q8*S8</f>
        <v>1650</v>
      </c>
    </row>
    <row r="9" spans="1:20" ht="15" x14ac:dyDescent="0.25">
      <c r="A9" s="5" t="s">
        <v>19</v>
      </c>
      <c r="B9" s="6"/>
      <c r="C9" s="7" t="s">
        <v>12</v>
      </c>
      <c r="D9" s="6"/>
      <c r="E9" s="6">
        <f>SUM(E7:E8)</f>
        <v>14230</v>
      </c>
      <c r="G9" s="6"/>
      <c r="H9" s="7" t="s">
        <v>12</v>
      </c>
      <c r="I9" s="6"/>
      <c r="J9" s="6">
        <f>SUM(J7:J8)</f>
        <v>14020</v>
      </c>
      <c r="L9" s="6"/>
      <c r="M9" s="7" t="s">
        <v>12</v>
      </c>
      <c r="N9" s="6"/>
      <c r="O9" s="6">
        <f>SUM(O7:O8)</f>
        <v>9455</v>
      </c>
      <c r="Q9" s="6"/>
      <c r="R9" s="7" t="s">
        <v>12</v>
      </c>
      <c r="S9" s="6"/>
      <c r="T9" s="6">
        <f>SUM(T7:T8)</f>
        <v>8400</v>
      </c>
    </row>
    <row r="10" spans="1:20" ht="15" x14ac:dyDescent="0.25">
      <c r="A10" s="8" t="s">
        <v>12</v>
      </c>
      <c r="B10" s="9"/>
      <c r="C10" s="7" t="s">
        <v>12</v>
      </c>
      <c r="D10" s="9"/>
      <c r="E10" s="9"/>
      <c r="G10" s="9"/>
      <c r="H10" s="7" t="s">
        <v>12</v>
      </c>
      <c r="I10" s="9"/>
      <c r="J10" s="9"/>
      <c r="L10" s="9"/>
      <c r="M10" s="7" t="s">
        <v>12</v>
      </c>
      <c r="N10" s="9"/>
      <c r="O10" s="9"/>
      <c r="Q10" s="9"/>
      <c r="R10" s="7" t="s">
        <v>12</v>
      </c>
      <c r="S10" s="9"/>
      <c r="T10" s="9"/>
    </row>
    <row r="11" spans="1:20" ht="15" x14ac:dyDescent="0.25">
      <c r="A11" s="5" t="s">
        <v>20</v>
      </c>
      <c r="B11" s="6"/>
      <c r="C11" s="7" t="s">
        <v>12</v>
      </c>
      <c r="D11" s="6"/>
      <c r="E11" s="6"/>
      <c r="G11" s="6"/>
      <c r="H11" s="7" t="s">
        <v>12</v>
      </c>
      <c r="I11" s="6"/>
      <c r="J11" s="6"/>
      <c r="L11" s="6"/>
      <c r="M11" s="7" t="s">
        <v>12</v>
      </c>
      <c r="N11" s="6"/>
      <c r="O11" s="6"/>
      <c r="Q11" s="6"/>
      <c r="R11" s="7" t="s">
        <v>12</v>
      </c>
      <c r="S11" s="6"/>
      <c r="T11" s="6"/>
    </row>
    <row r="12" spans="1:20" ht="15" x14ac:dyDescent="0.25">
      <c r="A12" s="8" t="s">
        <v>21</v>
      </c>
      <c r="B12" s="9">
        <v>-150</v>
      </c>
      <c r="C12" s="7" t="s">
        <v>17</v>
      </c>
      <c r="D12" s="10">
        <v>3</v>
      </c>
      <c r="E12" s="9">
        <f>B12*D12</f>
        <v>-450</v>
      </c>
      <c r="G12" s="12">
        <v>-1.7</v>
      </c>
      <c r="H12" s="7" t="s">
        <v>108</v>
      </c>
      <c r="I12" s="10">
        <v>375</v>
      </c>
      <c r="J12" s="9">
        <f>G12*I12</f>
        <v>-637.5</v>
      </c>
      <c r="L12" s="9">
        <v>-140</v>
      </c>
      <c r="M12" s="7" t="s">
        <v>17</v>
      </c>
      <c r="N12" s="10">
        <v>3.1</v>
      </c>
      <c r="O12" s="9">
        <f>L12*N12</f>
        <v>-434</v>
      </c>
      <c r="Q12" s="9">
        <v>-150</v>
      </c>
      <c r="R12" s="7" t="s">
        <v>17</v>
      </c>
      <c r="S12" s="10">
        <v>3.25</v>
      </c>
      <c r="T12" s="9">
        <f>Q12*S12</f>
        <v>-487.5</v>
      </c>
    </row>
    <row r="13" spans="1:20" ht="15" x14ac:dyDescent="0.25">
      <c r="A13" s="8" t="s">
        <v>22</v>
      </c>
      <c r="B13" s="9">
        <v>-251</v>
      </c>
      <c r="C13" s="7" t="s">
        <v>17</v>
      </c>
      <c r="D13" s="10">
        <v>5.5</v>
      </c>
      <c r="E13" s="9">
        <f>B13*D13</f>
        <v>-1380.5</v>
      </c>
      <c r="G13" s="9">
        <v>-166</v>
      </c>
      <c r="H13" s="7" t="s">
        <v>17</v>
      </c>
      <c r="I13" s="10">
        <v>5.5</v>
      </c>
      <c r="J13" s="9">
        <f>G13*I13</f>
        <v>-913</v>
      </c>
      <c r="L13" s="9">
        <v>-124</v>
      </c>
      <c r="M13" s="7" t="s">
        <v>17</v>
      </c>
      <c r="N13" s="10">
        <v>5.5</v>
      </c>
      <c r="O13" s="9">
        <f>L13*N13</f>
        <v>-682</v>
      </c>
      <c r="Q13" s="9">
        <v>-109</v>
      </c>
      <c r="R13" s="7" t="s">
        <v>17</v>
      </c>
      <c r="S13" s="10">
        <v>5.5</v>
      </c>
      <c r="T13" s="9">
        <f>Q13*S13</f>
        <v>-599.5</v>
      </c>
    </row>
    <row r="14" spans="1:20" ht="15" x14ac:dyDescent="0.25">
      <c r="A14" s="8" t="s">
        <v>23</v>
      </c>
      <c r="B14" s="9">
        <v>-26</v>
      </c>
      <c r="C14" s="7" t="s">
        <v>17</v>
      </c>
      <c r="D14" s="10">
        <v>9</v>
      </c>
      <c r="E14" s="9">
        <f>B14*D14</f>
        <v>-234</v>
      </c>
      <c r="G14" s="9">
        <v>-27</v>
      </c>
      <c r="H14" s="7" t="s">
        <v>17</v>
      </c>
      <c r="I14" s="10">
        <v>9</v>
      </c>
      <c r="J14" s="9">
        <f>G14*I14</f>
        <v>-243</v>
      </c>
      <c r="L14" s="9">
        <v>-24</v>
      </c>
      <c r="M14" s="7" t="s">
        <v>17</v>
      </c>
      <c r="N14" s="10">
        <v>9</v>
      </c>
      <c r="O14" s="9">
        <f>L14*N14</f>
        <v>-216</v>
      </c>
      <c r="Q14" s="9">
        <v>-26</v>
      </c>
      <c r="R14" s="7" t="s">
        <v>17</v>
      </c>
      <c r="S14" s="10">
        <v>9</v>
      </c>
      <c r="T14" s="9">
        <f>Q14*S14</f>
        <v>-234</v>
      </c>
    </row>
    <row r="15" spans="1:20" ht="15" x14ac:dyDescent="0.25">
      <c r="A15" s="8" t="s">
        <v>24</v>
      </c>
      <c r="B15" s="9">
        <v>-89</v>
      </c>
      <c r="C15" s="7" t="s">
        <v>17</v>
      </c>
      <c r="D15" s="10">
        <v>6</v>
      </c>
      <c r="E15" s="9">
        <f>B15*D15</f>
        <v>-534</v>
      </c>
      <c r="G15" s="9">
        <v>-100</v>
      </c>
      <c r="H15" s="7" t="s">
        <v>17</v>
      </c>
      <c r="I15" s="10">
        <v>6</v>
      </c>
      <c r="J15" s="9">
        <f>G15*I15</f>
        <v>-600</v>
      </c>
      <c r="L15" s="9">
        <v>-60</v>
      </c>
      <c r="M15" s="7" t="s">
        <v>17</v>
      </c>
      <c r="N15" s="10">
        <v>6</v>
      </c>
      <c r="O15" s="9">
        <f>L15*N15</f>
        <v>-360</v>
      </c>
      <c r="Q15" s="9">
        <v>-65</v>
      </c>
      <c r="R15" s="7" t="s">
        <v>17</v>
      </c>
      <c r="S15" s="10">
        <v>6</v>
      </c>
      <c r="T15" s="9">
        <f>Q15*S15</f>
        <v>-390</v>
      </c>
    </row>
    <row r="16" spans="1:20" ht="15" x14ac:dyDescent="0.25">
      <c r="A16" s="8" t="s">
        <v>25</v>
      </c>
      <c r="B16" s="9"/>
      <c r="C16" s="7" t="s">
        <v>26</v>
      </c>
      <c r="D16" s="9"/>
      <c r="E16" s="9">
        <v>-437.5</v>
      </c>
      <c r="G16" s="9"/>
      <c r="H16" s="7" t="s">
        <v>26</v>
      </c>
      <c r="I16" s="9"/>
      <c r="J16" s="9">
        <v>-410</v>
      </c>
      <c r="L16" s="9"/>
      <c r="M16" s="7" t="s">
        <v>26</v>
      </c>
      <c r="N16" s="9"/>
      <c r="O16" s="9">
        <v>-110</v>
      </c>
      <c r="Q16" s="9"/>
      <c r="R16" s="7" t="s">
        <v>26</v>
      </c>
      <c r="S16" s="9"/>
      <c r="T16" s="9">
        <v>-120</v>
      </c>
    </row>
    <row r="17" spans="1:20" ht="15" x14ac:dyDescent="0.25">
      <c r="A17" s="8" t="s">
        <v>104</v>
      </c>
      <c r="B17" s="9"/>
      <c r="C17" s="7" t="s">
        <v>26</v>
      </c>
      <c r="D17" s="48"/>
      <c r="E17" s="9">
        <f>-Simulering!I49</f>
        <v>-500</v>
      </c>
      <c r="G17" s="9"/>
      <c r="H17" s="7" t="s">
        <v>26</v>
      </c>
      <c r="I17" s="9"/>
      <c r="J17" s="9">
        <f>-Simulering!L49</f>
        <v>-145</v>
      </c>
      <c r="L17" s="9"/>
      <c r="M17" s="7" t="s">
        <v>26</v>
      </c>
      <c r="N17" s="9"/>
      <c r="O17" s="9">
        <f>-Simulering!M49-O18</f>
        <v>-215</v>
      </c>
      <c r="Q17" s="9"/>
      <c r="R17" s="7" t="s">
        <v>26</v>
      </c>
      <c r="S17" s="9"/>
      <c r="T17" s="9">
        <f>-Simulering!N49</f>
        <v>-130</v>
      </c>
    </row>
    <row r="18" spans="1:20" ht="15" x14ac:dyDescent="0.25">
      <c r="A18" s="8" t="s">
        <v>51</v>
      </c>
      <c r="B18" s="9"/>
      <c r="C18" s="7" t="s">
        <v>26</v>
      </c>
      <c r="G18" s="9"/>
      <c r="H18" s="7" t="s">
        <v>26</v>
      </c>
      <c r="I18" s="9"/>
      <c r="J18" s="9"/>
      <c r="L18" s="9"/>
      <c r="M18" s="7" t="s">
        <v>26</v>
      </c>
      <c r="N18" s="9"/>
      <c r="O18" s="38">
        <v>0</v>
      </c>
      <c r="Q18" s="9"/>
      <c r="R18" s="7" t="s">
        <v>26</v>
      </c>
      <c r="S18" s="9"/>
      <c r="T18" s="9"/>
    </row>
    <row r="19" spans="1:20" ht="15" x14ac:dyDescent="0.25">
      <c r="A19" s="5" t="s">
        <v>29</v>
      </c>
      <c r="B19" s="6"/>
      <c r="C19" s="7" t="s">
        <v>12</v>
      </c>
      <c r="D19" s="6"/>
      <c r="E19" s="6">
        <f>SUM(E11:E17)</f>
        <v>-3536</v>
      </c>
      <c r="G19" s="6"/>
      <c r="H19" s="7" t="s">
        <v>12</v>
      </c>
      <c r="I19" s="6"/>
      <c r="J19" s="6">
        <f>SUM(J11:J18)</f>
        <v>-2948.5</v>
      </c>
      <c r="L19" s="6"/>
      <c r="M19" s="7" t="s">
        <v>12</v>
      </c>
      <c r="N19" s="6"/>
      <c r="O19" s="6">
        <f>SUM(O11:O18)</f>
        <v>-2017</v>
      </c>
      <c r="Q19" s="6"/>
      <c r="R19" s="7" t="s">
        <v>12</v>
      </c>
      <c r="S19" s="6"/>
      <c r="T19" s="6">
        <f>SUM(T11:T18)</f>
        <v>-1961</v>
      </c>
    </row>
    <row r="20" spans="1:20" ht="15" x14ac:dyDescent="0.25">
      <c r="A20" s="5" t="s">
        <v>30</v>
      </c>
      <c r="B20" s="6"/>
      <c r="C20" s="7" t="s">
        <v>12</v>
      </c>
      <c r="D20" s="6"/>
      <c r="E20" s="6">
        <f>SUM(E9,E19)</f>
        <v>10694</v>
      </c>
      <c r="G20" s="6"/>
      <c r="H20" s="7" t="s">
        <v>12</v>
      </c>
      <c r="I20" s="6"/>
      <c r="J20" s="6">
        <f>SUM(J9,J19)</f>
        <v>11071.5</v>
      </c>
      <c r="L20" s="6"/>
      <c r="M20" s="7" t="s">
        <v>12</v>
      </c>
      <c r="N20" s="6"/>
      <c r="O20" s="6">
        <f>SUM(O9,O19)</f>
        <v>7438</v>
      </c>
      <c r="Q20" s="6"/>
      <c r="R20" s="7" t="s">
        <v>12</v>
      </c>
      <c r="S20" s="6"/>
      <c r="T20" s="6">
        <f>SUM(T9,T19)</f>
        <v>6439</v>
      </c>
    </row>
    <row r="21" spans="1:20" ht="15" x14ac:dyDescent="0.25">
      <c r="A21" s="8" t="s">
        <v>12</v>
      </c>
      <c r="B21" s="9"/>
      <c r="C21" s="7" t="s">
        <v>12</v>
      </c>
      <c r="D21" s="9"/>
      <c r="E21" s="9"/>
      <c r="G21" s="9"/>
      <c r="H21" s="7" t="s">
        <v>12</v>
      </c>
      <c r="I21" s="9"/>
      <c r="J21" s="9"/>
      <c r="L21" s="9"/>
      <c r="M21" s="7" t="s">
        <v>12</v>
      </c>
      <c r="N21" s="9"/>
      <c r="O21" s="9"/>
      <c r="Q21" s="9"/>
      <c r="R21" s="7" t="s">
        <v>12</v>
      </c>
      <c r="S21" s="9"/>
      <c r="T21" s="9"/>
    </row>
    <row r="22" spans="1:20" ht="15" x14ac:dyDescent="0.25">
      <c r="A22" s="5" t="s">
        <v>31</v>
      </c>
      <c r="B22" s="6"/>
      <c r="C22" s="7" t="s">
        <v>12</v>
      </c>
      <c r="D22" s="6"/>
      <c r="E22" s="6"/>
      <c r="G22" s="6"/>
      <c r="H22" s="7" t="s">
        <v>12</v>
      </c>
      <c r="I22" s="6"/>
      <c r="J22" s="6"/>
      <c r="L22" s="6"/>
      <c r="M22" s="7" t="s">
        <v>12</v>
      </c>
      <c r="N22" s="6"/>
      <c r="O22" s="6"/>
      <c r="Q22" s="6"/>
      <c r="R22" s="7" t="s">
        <v>12</v>
      </c>
      <c r="S22" s="6"/>
      <c r="T22" s="6"/>
    </row>
    <row r="23" spans="1:20" ht="15" x14ac:dyDescent="0.25">
      <c r="A23" s="8" t="s">
        <v>32</v>
      </c>
      <c r="B23" s="9">
        <v>-1</v>
      </c>
      <c r="C23" s="7" t="s">
        <v>12</v>
      </c>
      <c r="D23" s="9">
        <v>725</v>
      </c>
      <c r="E23" s="9">
        <f>B23*D23</f>
        <v>-725</v>
      </c>
      <c r="G23" s="9">
        <v>-1</v>
      </c>
      <c r="H23" s="7" t="s">
        <v>12</v>
      </c>
      <c r="I23" s="9">
        <v>725</v>
      </c>
      <c r="J23" s="9">
        <f t="shared" ref="J23:J31" si="0">G23*I23</f>
        <v>-725</v>
      </c>
      <c r="L23" s="9">
        <v>-1</v>
      </c>
      <c r="M23" s="7" t="s">
        <v>12</v>
      </c>
      <c r="N23" s="9">
        <v>725</v>
      </c>
      <c r="O23" s="9">
        <f t="shared" ref="O23:O31" si="1">L23*N23</f>
        <v>-725</v>
      </c>
      <c r="Q23" s="9">
        <v>-1</v>
      </c>
      <c r="R23" s="7" t="s">
        <v>12</v>
      </c>
      <c r="S23" s="9">
        <v>725</v>
      </c>
      <c r="T23" s="9">
        <f t="shared" ref="T23:T31" si="2">Q23*S23</f>
        <v>-725</v>
      </c>
    </row>
    <row r="24" spans="1:20" ht="15" x14ac:dyDescent="0.25">
      <c r="A24" s="8" t="s">
        <v>33</v>
      </c>
      <c r="B24" s="9">
        <v>-2</v>
      </c>
      <c r="C24" s="7" t="s">
        <v>12</v>
      </c>
      <c r="D24" s="9">
        <v>150</v>
      </c>
      <c r="E24" s="9">
        <f>B24*D24</f>
        <v>-300</v>
      </c>
      <c r="G24" s="9">
        <v>-3</v>
      </c>
      <c r="H24" s="7" t="s">
        <v>12</v>
      </c>
      <c r="I24" s="9">
        <v>150</v>
      </c>
      <c r="J24" s="9">
        <f t="shared" si="0"/>
        <v>-450</v>
      </c>
      <c r="L24" s="9">
        <v>-1</v>
      </c>
      <c r="M24" s="7" t="s">
        <v>12</v>
      </c>
      <c r="N24" s="9">
        <v>150</v>
      </c>
      <c r="O24" s="9">
        <f t="shared" si="1"/>
        <v>-150</v>
      </c>
      <c r="Q24" s="9">
        <v>-1</v>
      </c>
      <c r="R24" s="7" t="s">
        <v>12</v>
      </c>
      <c r="S24" s="9">
        <v>150</v>
      </c>
      <c r="T24" s="9">
        <f t="shared" si="2"/>
        <v>-150</v>
      </c>
    </row>
    <row r="25" spans="1:20" ht="15" x14ac:dyDescent="0.25">
      <c r="A25" s="8" t="s">
        <v>34</v>
      </c>
      <c r="B25" s="9">
        <v>-1</v>
      </c>
      <c r="C25" s="7" t="s">
        <v>12</v>
      </c>
      <c r="D25" s="9">
        <v>400</v>
      </c>
      <c r="E25" s="9">
        <f>B25*D25</f>
        <v>-400</v>
      </c>
      <c r="G25" s="9">
        <v>-1</v>
      </c>
      <c r="H25" s="7" t="s">
        <v>12</v>
      </c>
      <c r="I25" s="9">
        <v>400</v>
      </c>
      <c r="J25" s="9">
        <f t="shared" si="0"/>
        <v>-400</v>
      </c>
      <c r="L25" s="9">
        <v>-1</v>
      </c>
      <c r="M25" s="7" t="s">
        <v>12</v>
      </c>
      <c r="N25" s="9">
        <v>400</v>
      </c>
      <c r="O25" s="9">
        <f t="shared" si="1"/>
        <v>-400</v>
      </c>
      <c r="Q25" s="9">
        <v>-1</v>
      </c>
      <c r="R25" s="7" t="s">
        <v>12</v>
      </c>
      <c r="S25" s="9">
        <v>400</v>
      </c>
      <c r="T25" s="9">
        <f t="shared" si="2"/>
        <v>-400</v>
      </c>
    </row>
    <row r="26" spans="1:20" ht="15" x14ac:dyDescent="0.25">
      <c r="A26" s="8" t="s">
        <v>35</v>
      </c>
      <c r="B26" s="9"/>
      <c r="C26" s="7" t="s">
        <v>12</v>
      </c>
      <c r="D26" s="9">
        <v>180</v>
      </c>
      <c r="E26" s="9">
        <f>-Simulering!I57</f>
        <v>-540</v>
      </c>
      <c r="G26" s="9"/>
      <c r="H26" s="7" t="s">
        <v>12</v>
      </c>
      <c r="I26" s="9">
        <v>180</v>
      </c>
      <c r="J26" s="9">
        <f>-Simulering!L57</f>
        <v>-360</v>
      </c>
      <c r="L26" s="9"/>
      <c r="M26" s="7" t="s">
        <v>12</v>
      </c>
      <c r="N26" s="9">
        <v>180</v>
      </c>
      <c r="O26" s="9">
        <f>-Simulering!M57</f>
        <v>-360</v>
      </c>
      <c r="Q26" s="9"/>
      <c r="R26" s="7" t="s">
        <v>12</v>
      </c>
      <c r="S26" s="9">
        <v>180</v>
      </c>
      <c r="T26" s="9">
        <f>-Simulering!N57</f>
        <v>-180</v>
      </c>
    </row>
    <row r="27" spans="1:20" ht="15" x14ac:dyDescent="0.25">
      <c r="A27" s="8" t="s">
        <v>36</v>
      </c>
      <c r="B27" s="9">
        <v>-1</v>
      </c>
      <c r="C27" s="7" t="s">
        <v>12</v>
      </c>
      <c r="D27" s="9">
        <v>1077</v>
      </c>
      <c r="E27" s="9">
        <f>B27*D27</f>
        <v>-1077</v>
      </c>
      <c r="G27" s="9">
        <v>-1</v>
      </c>
      <c r="H27" s="7" t="s">
        <v>12</v>
      </c>
      <c r="I27" s="9">
        <v>992</v>
      </c>
      <c r="J27" s="9">
        <f t="shared" si="0"/>
        <v>-992</v>
      </c>
      <c r="L27" s="9">
        <v>-1</v>
      </c>
      <c r="M27" s="7" t="s">
        <v>12</v>
      </c>
      <c r="N27" s="9">
        <v>914</v>
      </c>
      <c r="O27" s="9">
        <f t="shared" si="1"/>
        <v>-914</v>
      </c>
      <c r="Q27" s="9">
        <v>-1</v>
      </c>
      <c r="R27" s="7" t="s">
        <v>12</v>
      </c>
      <c r="S27" s="9">
        <v>857</v>
      </c>
      <c r="T27" s="9">
        <f t="shared" si="2"/>
        <v>-857</v>
      </c>
    </row>
    <row r="28" spans="1:20" ht="15" x14ac:dyDescent="0.25">
      <c r="A28" s="8" t="s">
        <v>37</v>
      </c>
      <c r="B28" s="9">
        <v>-1</v>
      </c>
      <c r="C28" s="7" t="s">
        <v>12</v>
      </c>
      <c r="D28" s="9">
        <v>507</v>
      </c>
      <c r="E28" s="9">
        <f>B28*D28</f>
        <v>-507</v>
      </c>
      <c r="G28" s="9">
        <v>-1</v>
      </c>
      <c r="H28" s="7" t="s">
        <v>12</v>
      </c>
      <c r="I28" s="9">
        <v>467</v>
      </c>
      <c r="J28" s="9">
        <f t="shared" si="0"/>
        <v>-467</v>
      </c>
      <c r="L28" s="9">
        <v>-1</v>
      </c>
      <c r="M28" s="7" t="s">
        <v>12</v>
      </c>
      <c r="N28" s="9">
        <v>430</v>
      </c>
      <c r="O28" s="9">
        <f t="shared" si="1"/>
        <v>-430</v>
      </c>
      <c r="Q28" s="9">
        <v>-1</v>
      </c>
      <c r="R28" s="7" t="s">
        <v>12</v>
      </c>
      <c r="S28" s="9">
        <v>403</v>
      </c>
      <c r="T28" s="9">
        <f t="shared" si="2"/>
        <v>-403</v>
      </c>
    </row>
    <row r="29" spans="1:20" ht="15" x14ac:dyDescent="0.25">
      <c r="A29" s="8" t="s">
        <v>38</v>
      </c>
      <c r="B29" s="9">
        <v>-9100</v>
      </c>
      <c r="C29" s="7" t="s">
        <v>12</v>
      </c>
      <c r="D29" s="11">
        <v>0.09</v>
      </c>
      <c r="E29" s="9">
        <f>B29*D29</f>
        <v>-819</v>
      </c>
      <c r="G29" s="9">
        <v>-7900</v>
      </c>
      <c r="H29" s="7" t="s">
        <v>12</v>
      </c>
      <c r="I29" s="11">
        <v>0.09</v>
      </c>
      <c r="J29" s="9">
        <f t="shared" si="0"/>
        <v>-711</v>
      </c>
      <c r="L29" s="9">
        <v>-6700</v>
      </c>
      <c r="M29" s="7" t="s">
        <v>12</v>
      </c>
      <c r="N29" s="11">
        <v>0.09</v>
      </c>
      <c r="O29" s="9">
        <f t="shared" si="1"/>
        <v>-603</v>
      </c>
      <c r="Q29" s="9">
        <v>-6000</v>
      </c>
      <c r="R29" s="7" t="s">
        <v>12</v>
      </c>
      <c r="S29" s="11">
        <v>0.09</v>
      </c>
      <c r="T29" s="9">
        <f t="shared" si="2"/>
        <v>-540</v>
      </c>
    </row>
    <row r="30" spans="1:20" ht="15" x14ac:dyDescent="0.25">
      <c r="A30" s="8" t="s">
        <v>39</v>
      </c>
      <c r="B30" s="12">
        <v>-9.6</v>
      </c>
      <c r="C30" s="7" t="s">
        <v>12</v>
      </c>
      <c r="D30" s="9">
        <v>85</v>
      </c>
      <c r="E30" s="9">
        <f>B30*D30</f>
        <v>-816</v>
      </c>
      <c r="G30" s="12">
        <v>-10.8</v>
      </c>
      <c r="H30" s="7" t="s">
        <v>12</v>
      </c>
      <c r="I30" s="9">
        <v>85</v>
      </c>
      <c r="J30" s="9">
        <f t="shared" si="0"/>
        <v>-918.00000000000011</v>
      </c>
      <c r="L30" s="12">
        <v>-7</v>
      </c>
      <c r="M30" s="7" t="s">
        <v>12</v>
      </c>
      <c r="N30" s="9">
        <v>85</v>
      </c>
      <c r="O30" s="9">
        <f t="shared" si="1"/>
        <v>-595</v>
      </c>
      <c r="Q30" s="12">
        <v>-6.6</v>
      </c>
      <c r="R30" s="7" t="s">
        <v>12</v>
      </c>
      <c r="S30" s="9">
        <v>85</v>
      </c>
      <c r="T30" s="9">
        <f t="shared" si="2"/>
        <v>-561</v>
      </c>
    </row>
    <row r="31" spans="1:20" ht="15" x14ac:dyDescent="0.25">
      <c r="A31" s="8" t="s">
        <v>40</v>
      </c>
      <c r="B31" s="9">
        <v>-1</v>
      </c>
      <c r="C31" s="7" t="s">
        <v>12</v>
      </c>
      <c r="D31" s="9">
        <v>278</v>
      </c>
      <c r="E31" s="9">
        <f>B31*D31</f>
        <v>-278</v>
      </c>
      <c r="G31" s="9">
        <v>-1</v>
      </c>
      <c r="H31" s="7" t="s">
        <v>12</v>
      </c>
      <c r="I31" s="9">
        <v>315</v>
      </c>
      <c r="J31" s="9">
        <f t="shared" si="0"/>
        <v>-315</v>
      </c>
      <c r="L31" s="9">
        <v>-1</v>
      </c>
      <c r="M31" s="7" t="s">
        <v>12</v>
      </c>
      <c r="N31" s="9">
        <v>244</v>
      </c>
      <c r="O31" s="9">
        <f t="shared" si="1"/>
        <v>-244</v>
      </c>
      <c r="Q31" s="9">
        <v>-1</v>
      </c>
      <c r="R31" s="7" t="s">
        <v>12</v>
      </c>
      <c r="S31" s="9">
        <v>236</v>
      </c>
      <c r="T31" s="9">
        <f t="shared" si="2"/>
        <v>-236</v>
      </c>
    </row>
    <row r="32" spans="1:20" ht="15" x14ac:dyDescent="0.25">
      <c r="A32" s="8" t="s">
        <v>41</v>
      </c>
      <c r="B32" s="9"/>
      <c r="C32" s="7" t="s">
        <v>12</v>
      </c>
      <c r="D32" s="9"/>
      <c r="E32" s="9">
        <v>-500</v>
      </c>
      <c r="G32" s="9"/>
      <c r="H32" s="7" t="s">
        <v>12</v>
      </c>
      <c r="I32" s="9"/>
      <c r="J32" s="9">
        <v>-500</v>
      </c>
      <c r="L32" s="9"/>
      <c r="M32" s="7" t="s">
        <v>12</v>
      </c>
      <c r="N32" s="9"/>
      <c r="O32" s="9">
        <v>-500</v>
      </c>
      <c r="Q32" s="9"/>
      <c r="R32" s="7" t="s">
        <v>12</v>
      </c>
      <c r="S32" s="9"/>
      <c r="T32" s="9">
        <v>-500</v>
      </c>
    </row>
    <row r="33" spans="1:20" ht="15" x14ac:dyDescent="0.25">
      <c r="A33" s="5" t="s">
        <v>42</v>
      </c>
      <c r="B33" s="6"/>
      <c r="C33" s="7" t="s">
        <v>12</v>
      </c>
      <c r="D33" s="6"/>
      <c r="E33" s="6">
        <f>SUM(E23:E32)</f>
        <v>-5962</v>
      </c>
      <c r="G33" s="6"/>
      <c r="H33" s="7" t="s">
        <v>12</v>
      </c>
      <c r="I33" s="6"/>
      <c r="J33" s="6">
        <f>SUM(J23:J32)</f>
        <v>-5838</v>
      </c>
      <c r="L33" s="6"/>
      <c r="M33" s="7" t="s">
        <v>12</v>
      </c>
      <c r="N33" s="6"/>
      <c r="O33" s="6">
        <f>SUM(O23:O32)</f>
        <v>-4921</v>
      </c>
      <c r="Q33" s="6"/>
      <c r="R33" s="7" t="s">
        <v>12</v>
      </c>
      <c r="S33" s="6"/>
      <c r="T33" s="6">
        <f>SUM(T23:T32)</f>
        <v>-4552</v>
      </c>
    </row>
    <row r="34" spans="1:20" ht="15" x14ac:dyDescent="0.25">
      <c r="A34" s="8" t="s">
        <v>43</v>
      </c>
      <c r="B34" s="9"/>
      <c r="C34" s="7" t="s">
        <v>12</v>
      </c>
      <c r="D34" s="9"/>
      <c r="E34" s="9">
        <f>SUM(E20,E33)</f>
        <v>4732</v>
      </c>
      <c r="G34" s="9"/>
      <c r="H34" s="7" t="s">
        <v>12</v>
      </c>
      <c r="I34" s="9"/>
      <c r="J34" s="9">
        <f>SUM(J20,J33)</f>
        <v>5233.5</v>
      </c>
      <c r="L34" s="9"/>
      <c r="M34" s="7" t="s">
        <v>12</v>
      </c>
      <c r="N34" s="9"/>
      <c r="O34" s="9">
        <f>SUM(O20,O33)</f>
        <v>2517</v>
      </c>
      <c r="Q34" s="9"/>
      <c r="R34" s="7" t="s">
        <v>12</v>
      </c>
      <c r="S34" s="9"/>
      <c r="T34" s="9">
        <f>SUM(T20,T33)</f>
        <v>1887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topLeftCell="H1" workbookViewId="0">
      <selection activeCell="L42" sqref="L42"/>
    </sheetView>
  </sheetViews>
  <sheetFormatPr defaultColWidth="33.42578125" defaultRowHeight="15" x14ac:dyDescent="0.25"/>
  <cols>
    <col min="1" max="1" width="32.7109375" style="1" hidden="1" customWidth="1"/>
    <col min="2" max="5" width="11" style="1" hidden="1" customWidth="1"/>
    <col min="6" max="7" width="4" style="1" hidden="1" customWidth="1"/>
    <col min="8" max="8" width="32.140625" style="1" customWidth="1"/>
    <col min="9" max="12" width="11" style="1" customWidth="1"/>
    <col min="13" max="14" width="4.42578125" style="1" customWidth="1"/>
    <col min="15" max="15" width="32.28515625" style="1" customWidth="1"/>
    <col min="16" max="19" width="11" style="1" customWidth="1"/>
    <col min="20" max="16384" width="33.42578125" style="1"/>
  </cols>
  <sheetData>
    <row r="1" spans="1:19" ht="18.75" x14ac:dyDescent="0.3">
      <c r="H1" s="37" t="s">
        <v>59</v>
      </c>
    </row>
    <row r="3" spans="1:19" x14ac:dyDescent="0.25">
      <c r="A3" s="1" t="s">
        <v>0</v>
      </c>
      <c r="H3" s="1" t="s">
        <v>0</v>
      </c>
      <c r="O3" s="1" t="s">
        <v>0</v>
      </c>
    </row>
    <row r="4" spans="1:19" x14ac:dyDescent="0.25">
      <c r="A4" s="2" t="s">
        <v>1</v>
      </c>
      <c r="B4" s="2" t="s">
        <v>0</v>
      </c>
      <c r="H4" s="2" t="s">
        <v>1</v>
      </c>
      <c r="I4" s="2" t="s">
        <v>0</v>
      </c>
      <c r="O4" s="2" t="s">
        <v>1</v>
      </c>
      <c r="P4" s="2" t="s">
        <v>0</v>
      </c>
    </row>
    <row r="5" spans="1:19" x14ac:dyDescent="0.25">
      <c r="A5" s="2" t="s">
        <v>2</v>
      </c>
      <c r="B5" s="2" t="s">
        <v>3</v>
      </c>
      <c r="H5" s="2" t="s">
        <v>2</v>
      </c>
      <c r="I5" s="2" t="s">
        <v>3</v>
      </c>
      <c r="O5" s="2" t="s">
        <v>2</v>
      </c>
      <c r="P5" s="2" t="s">
        <v>3</v>
      </c>
    </row>
    <row r="6" spans="1:19" x14ac:dyDescent="0.25">
      <c r="A6" s="2" t="s">
        <v>4</v>
      </c>
      <c r="B6" s="2" t="s">
        <v>5</v>
      </c>
      <c r="H6" s="2" t="s">
        <v>4</v>
      </c>
      <c r="I6" s="2" t="s">
        <v>5</v>
      </c>
      <c r="O6" s="2" t="s">
        <v>4</v>
      </c>
      <c r="P6" s="2" t="s">
        <v>5</v>
      </c>
    </row>
    <row r="7" spans="1:19" x14ac:dyDescent="0.25">
      <c r="A7" s="2" t="s">
        <v>6</v>
      </c>
      <c r="B7" s="2" t="s">
        <v>49</v>
      </c>
      <c r="H7" s="2" t="s">
        <v>6</v>
      </c>
      <c r="I7" s="2" t="s">
        <v>113</v>
      </c>
      <c r="O7" s="2" t="s">
        <v>6</v>
      </c>
      <c r="P7" s="2" t="s">
        <v>7</v>
      </c>
    </row>
    <row r="8" spans="1:19" x14ac:dyDescent="0.25">
      <c r="A8" s="2" t="s">
        <v>8</v>
      </c>
      <c r="B8" s="2" t="s">
        <v>9</v>
      </c>
      <c r="H8" s="2" t="s">
        <v>8</v>
      </c>
      <c r="I8" s="2" t="s">
        <v>9</v>
      </c>
      <c r="O8" s="2" t="s">
        <v>8</v>
      </c>
      <c r="P8" s="2" t="s">
        <v>9</v>
      </c>
    </row>
    <row r="10" spans="1:19" x14ac:dyDescent="0.25">
      <c r="A10" s="3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H10" s="3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O10" s="3" t="s">
        <v>10</v>
      </c>
      <c r="P10" s="4" t="s">
        <v>11</v>
      </c>
      <c r="Q10" s="4" t="s">
        <v>12</v>
      </c>
      <c r="R10" s="4" t="s">
        <v>13</v>
      </c>
      <c r="S10" s="4" t="s">
        <v>14</v>
      </c>
    </row>
    <row r="11" spans="1:19" x14ac:dyDescent="0.25">
      <c r="A11" s="5" t="s">
        <v>15</v>
      </c>
      <c r="B11" s="6"/>
      <c r="C11" s="7" t="s">
        <v>12</v>
      </c>
      <c r="D11" s="6"/>
      <c r="E11" s="6"/>
      <c r="H11" s="5" t="s">
        <v>15</v>
      </c>
      <c r="I11" s="6"/>
      <c r="J11" s="7" t="s">
        <v>12</v>
      </c>
      <c r="K11" s="6"/>
      <c r="L11" s="6"/>
      <c r="O11" s="5" t="s">
        <v>15</v>
      </c>
      <c r="P11" s="6"/>
      <c r="Q11" s="7" t="s">
        <v>12</v>
      </c>
      <c r="R11" s="6"/>
      <c r="S11" s="6"/>
    </row>
    <row r="12" spans="1:19" x14ac:dyDescent="0.25">
      <c r="A12" s="8" t="s">
        <v>16</v>
      </c>
      <c r="B12" s="9">
        <v>5700</v>
      </c>
      <c r="C12" s="7" t="s">
        <v>17</v>
      </c>
      <c r="D12" s="10">
        <v>1.1499999999999999</v>
      </c>
      <c r="E12" s="9">
        <f>B12*D12</f>
        <v>6554.9999999999991</v>
      </c>
      <c r="H12" s="8" t="s">
        <v>16</v>
      </c>
      <c r="I12" s="9">
        <v>7000</v>
      </c>
      <c r="J12" s="7" t="s">
        <v>17</v>
      </c>
      <c r="K12" s="10">
        <v>1.3</v>
      </c>
      <c r="L12" s="9">
        <f>I12*K12</f>
        <v>9100</v>
      </c>
      <c r="O12" s="8" t="s">
        <v>16</v>
      </c>
      <c r="P12" s="9">
        <v>9100</v>
      </c>
      <c r="Q12" s="7" t="s">
        <v>17</v>
      </c>
      <c r="R12" s="10">
        <v>1.3</v>
      </c>
      <c r="S12" s="9">
        <f>P12*R12</f>
        <v>11830</v>
      </c>
    </row>
    <row r="13" spans="1:19" x14ac:dyDescent="0.25">
      <c r="A13" s="8" t="s">
        <v>18</v>
      </c>
      <c r="B13" s="9">
        <v>2900</v>
      </c>
      <c r="C13" s="7" t="s">
        <v>17</v>
      </c>
      <c r="D13" s="10">
        <v>0.5</v>
      </c>
      <c r="E13" s="9">
        <f>B13*D13</f>
        <v>1450</v>
      </c>
      <c r="H13" s="8" t="s">
        <v>18</v>
      </c>
      <c r="I13" s="9">
        <v>4000</v>
      </c>
      <c r="J13" s="7" t="s">
        <v>17</v>
      </c>
      <c r="K13" s="10">
        <v>0.5</v>
      </c>
      <c r="L13" s="9">
        <f>I13*K13</f>
        <v>2000</v>
      </c>
      <c r="O13" s="8" t="s">
        <v>18</v>
      </c>
      <c r="P13" s="9">
        <v>4800</v>
      </c>
      <c r="Q13" s="7" t="s">
        <v>17</v>
      </c>
      <c r="R13" s="10">
        <v>0.5</v>
      </c>
      <c r="S13" s="9">
        <f>P13*R13</f>
        <v>2400</v>
      </c>
    </row>
    <row r="14" spans="1:19" x14ac:dyDescent="0.25">
      <c r="A14" s="5" t="s">
        <v>19</v>
      </c>
      <c r="B14" s="6"/>
      <c r="C14" s="7" t="s">
        <v>12</v>
      </c>
      <c r="D14" s="6"/>
      <c r="E14" s="6">
        <f>SUM(E12:E13)</f>
        <v>8004.9999999999991</v>
      </c>
      <c r="H14" s="5" t="s">
        <v>19</v>
      </c>
      <c r="I14" s="6"/>
      <c r="J14" s="7" t="s">
        <v>12</v>
      </c>
      <c r="K14" s="6"/>
      <c r="L14" s="6">
        <f>SUM(L12:L13)</f>
        <v>11100</v>
      </c>
      <c r="O14" s="5" t="s">
        <v>19</v>
      </c>
      <c r="P14" s="6"/>
      <c r="Q14" s="7" t="s">
        <v>12</v>
      </c>
      <c r="R14" s="6"/>
      <c r="S14" s="6">
        <f>SUM(S12:S13)</f>
        <v>14230</v>
      </c>
    </row>
    <row r="15" spans="1:19" x14ac:dyDescent="0.25">
      <c r="A15" s="8" t="s">
        <v>12</v>
      </c>
      <c r="B15" s="9"/>
      <c r="C15" s="7" t="s">
        <v>12</v>
      </c>
      <c r="D15" s="9"/>
      <c r="E15" s="9"/>
      <c r="H15" s="8" t="s">
        <v>12</v>
      </c>
      <c r="I15" s="9"/>
      <c r="J15" s="7" t="s">
        <v>12</v>
      </c>
      <c r="K15" s="9"/>
      <c r="L15" s="9"/>
      <c r="O15" s="8" t="s">
        <v>12</v>
      </c>
      <c r="P15" s="9"/>
      <c r="Q15" s="7" t="s">
        <v>12</v>
      </c>
      <c r="R15" s="9"/>
      <c r="S15" s="9"/>
    </row>
    <row r="16" spans="1:19" x14ac:dyDescent="0.25">
      <c r="A16" s="5" t="s">
        <v>20</v>
      </c>
      <c r="B16" s="6"/>
      <c r="C16" s="7" t="s">
        <v>12</v>
      </c>
      <c r="D16" s="6"/>
      <c r="E16" s="6"/>
      <c r="H16" s="5" t="s">
        <v>20</v>
      </c>
      <c r="I16" s="6"/>
      <c r="J16" s="7" t="s">
        <v>12</v>
      </c>
      <c r="K16" s="6"/>
      <c r="L16" s="6"/>
      <c r="O16" s="5" t="s">
        <v>20</v>
      </c>
      <c r="P16" s="6"/>
      <c r="Q16" s="7" t="s">
        <v>12</v>
      </c>
      <c r="R16" s="6"/>
      <c r="S16" s="6"/>
    </row>
    <row r="17" spans="1:19" x14ac:dyDescent="0.25">
      <c r="A17" s="8" t="s">
        <v>21</v>
      </c>
      <c r="B17" s="9">
        <v>-150</v>
      </c>
      <c r="C17" s="7" t="s">
        <v>17</v>
      </c>
      <c r="D17" s="10">
        <v>3</v>
      </c>
      <c r="E17" s="9">
        <f>B17*D17</f>
        <v>-450</v>
      </c>
      <c r="H17" s="8" t="s">
        <v>21</v>
      </c>
      <c r="I17" s="9">
        <v>-150</v>
      </c>
      <c r="J17" s="7" t="s">
        <v>17</v>
      </c>
      <c r="K17" s="10">
        <v>3</v>
      </c>
      <c r="L17" s="9">
        <f>I17*K17</f>
        <v>-450</v>
      </c>
      <c r="O17" s="8" t="s">
        <v>21</v>
      </c>
      <c r="P17" s="9">
        <v>-150</v>
      </c>
      <c r="Q17" s="7" t="s">
        <v>17</v>
      </c>
      <c r="R17" s="10">
        <v>3</v>
      </c>
      <c r="S17" s="9">
        <f>P17*R17</f>
        <v>-450</v>
      </c>
    </row>
    <row r="18" spans="1:19" x14ac:dyDescent="0.25">
      <c r="A18" s="8" t="s">
        <v>22</v>
      </c>
      <c r="B18" s="9">
        <v>-211</v>
      </c>
      <c r="C18" s="7" t="s">
        <v>17</v>
      </c>
      <c r="D18" s="10">
        <v>5.5</v>
      </c>
      <c r="E18" s="9">
        <f>B18*D18</f>
        <v>-1160.5</v>
      </c>
      <c r="H18" s="8" t="s">
        <v>22</v>
      </c>
      <c r="I18" s="9">
        <v>-242</v>
      </c>
      <c r="J18" s="7" t="s">
        <v>17</v>
      </c>
      <c r="K18" s="10">
        <v>5.5</v>
      </c>
      <c r="L18" s="9">
        <f>I18*K18</f>
        <v>-1331</v>
      </c>
      <c r="O18" s="8" t="s">
        <v>22</v>
      </c>
      <c r="P18" s="9">
        <v>-251</v>
      </c>
      <c r="Q18" s="7" t="s">
        <v>17</v>
      </c>
      <c r="R18" s="10">
        <v>5.5</v>
      </c>
      <c r="S18" s="9">
        <f>P18*R18</f>
        <v>-1380.5</v>
      </c>
    </row>
    <row r="19" spans="1:19" x14ac:dyDescent="0.25">
      <c r="A19" s="8" t="s">
        <v>23</v>
      </c>
      <c r="B19" s="9">
        <v>-16</v>
      </c>
      <c r="C19" s="7" t="s">
        <v>17</v>
      </c>
      <c r="D19" s="10">
        <v>9</v>
      </c>
      <c r="E19" s="9">
        <f>B19*D19</f>
        <v>-144</v>
      </c>
      <c r="H19" s="8" t="s">
        <v>23</v>
      </c>
      <c r="I19" s="9">
        <v>-22</v>
      </c>
      <c r="J19" s="7" t="s">
        <v>17</v>
      </c>
      <c r="K19" s="10">
        <v>9</v>
      </c>
      <c r="L19" s="9">
        <f>I19*K19</f>
        <v>-198</v>
      </c>
      <c r="O19" s="8" t="s">
        <v>23</v>
      </c>
      <c r="P19" s="9">
        <v>-26</v>
      </c>
      <c r="Q19" s="7" t="s">
        <v>17</v>
      </c>
      <c r="R19" s="10">
        <v>9</v>
      </c>
      <c r="S19" s="9">
        <f>P19*R19</f>
        <v>-234</v>
      </c>
    </row>
    <row r="20" spans="1:19" x14ac:dyDescent="0.25">
      <c r="A20" s="8" t="s">
        <v>24</v>
      </c>
      <c r="B20" s="9">
        <v>-73</v>
      </c>
      <c r="C20" s="7" t="s">
        <v>17</v>
      </c>
      <c r="D20" s="10">
        <v>6</v>
      </c>
      <c r="E20" s="9">
        <f>B20*D20</f>
        <v>-438</v>
      </c>
      <c r="H20" s="8" t="s">
        <v>24</v>
      </c>
      <c r="I20" s="9">
        <v>-93</v>
      </c>
      <c r="J20" s="7" t="s">
        <v>17</v>
      </c>
      <c r="K20" s="10">
        <v>6</v>
      </c>
      <c r="L20" s="9">
        <f>I20*K20</f>
        <v>-558</v>
      </c>
      <c r="O20" s="8" t="s">
        <v>24</v>
      </c>
      <c r="P20" s="9">
        <v>-89</v>
      </c>
      <c r="Q20" s="7" t="s">
        <v>17</v>
      </c>
      <c r="R20" s="10">
        <v>6</v>
      </c>
      <c r="S20" s="9">
        <f>P20*R20</f>
        <v>-534</v>
      </c>
    </row>
    <row r="21" spans="1:19" x14ac:dyDescent="0.25">
      <c r="A21" s="8" t="s">
        <v>25</v>
      </c>
      <c r="B21" s="9"/>
      <c r="C21" s="7" t="s">
        <v>26</v>
      </c>
      <c r="D21" s="9"/>
      <c r="E21" s="9">
        <v>-437.5</v>
      </c>
      <c r="H21" s="8" t="s">
        <v>25</v>
      </c>
      <c r="I21" s="9"/>
      <c r="J21" s="7" t="s">
        <v>26</v>
      </c>
      <c r="K21" s="9"/>
      <c r="L21" s="9">
        <v>-437.5</v>
      </c>
      <c r="O21" s="8" t="s">
        <v>25</v>
      </c>
      <c r="P21" s="9"/>
      <c r="Q21" s="7" t="s">
        <v>26</v>
      </c>
      <c r="R21" s="9"/>
      <c r="S21" s="9">
        <v>-437.5</v>
      </c>
    </row>
    <row r="22" spans="1:19" x14ac:dyDescent="0.25">
      <c r="A22" s="8" t="s">
        <v>27</v>
      </c>
      <c r="B22" s="9"/>
      <c r="C22" s="7" t="s">
        <v>26</v>
      </c>
      <c r="D22" s="9"/>
      <c r="E22" s="9">
        <v>-410</v>
      </c>
      <c r="H22" s="8" t="s">
        <v>27</v>
      </c>
      <c r="I22" s="9"/>
      <c r="J22" s="7" t="s">
        <v>26</v>
      </c>
      <c r="K22" s="9"/>
      <c r="L22" s="9">
        <v>-410</v>
      </c>
      <c r="O22" s="8" t="s">
        <v>27</v>
      </c>
      <c r="P22" s="9"/>
      <c r="Q22" s="7" t="s">
        <v>26</v>
      </c>
      <c r="R22" s="9"/>
      <c r="S22" s="9">
        <v>-410</v>
      </c>
    </row>
    <row r="23" spans="1:19" x14ac:dyDescent="0.25">
      <c r="A23" s="8" t="s">
        <v>28</v>
      </c>
      <c r="B23" s="9"/>
      <c r="C23" s="7" t="s">
        <v>26</v>
      </c>
      <c r="D23" s="9"/>
      <c r="E23" s="9">
        <v>-90</v>
      </c>
      <c r="H23" s="8" t="s">
        <v>28</v>
      </c>
      <c r="I23" s="9"/>
      <c r="J23" s="7" t="s">
        <v>26</v>
      </c>
      <c r="K23" s="9"/>
      <c r="L23" s="9">
        <v>-90</v>
      </c>
      <c r="O23" s="8" t="s">
        <v>28</v>
      </c>
      <c r="P23" s="9"/>
      <c r="Q23" s="7" t="s">
        <v>26</v>
      </c>
      <c r="R23" s="9"/>
      <c r="S23" s="9">
        <v>-90</v>
      </c>
    </row>
    <row r="24" spans="1:19" x14ac:dyDescent="0.25">
      <c r="A24" s="5" t="s">
        <v>29</v>
      </c>
      <c r="B24" s="6"/>
      <c r="C24" s="7" t="s">
        <v>12</v>
      </c>
      <c r="D24" s="6"/>
      <c r="E24" s="6">
        <f>SUM(E16:E23)</f>
        <v>-3130</v>
      </c>
      <c r="H24" s="5" t="s">
        <v>29</v>
      </c>
      <c r="I24" s="6"/>
      <c r="J24" s="7" t="s">
        <v>12</v>
      </c>
      <c r="K24" s="6"/>
      <c r="L24" s="6">
        <f>SUM(L16:L23)</f>
        <v>-3474.5</v>
      </c>
      <c r="O24" s="5" t="s">
        <v>29</v>
      </c>
      <c r="P24" s="6"/>
      <c r="Q24" s="7" t="s">
        <v>12</v>
      </c>
      <c r="R24" s="6"/>
      <c r="S24" s="6">
        <f>SUM(S16:S23)</f>
        <v>-3536</v>
      </c>
    </row>
    <row r="25" spans="1:19" x14ac:dyDescent="0.25">
      <c r="A25" s="5" t="s">
        <v>30</v>
      </c>
      <c r="B25" s="6"/>
      <c r="C25" s="7" t="s">
        <v>12</v>
      </c>
      <c r="D25" s="6"/>
      <c r="E25" s="6">
        <f>SUM(E14,E24)</f>
        <v>4874.9999999999991</v>
      </c>
      <c r="H25" s="5" t="s">
        <v>30</v>
      </c>
      <c r="I25" s="6"/>
      <c r="J25" s="7" t="s">
        <v>12</v>
      </c>
      <c r="K25" s="6"/>
      <c r="L25" s="6">
        <f>SUM(L14,L24)</f>
        <v>7625.5</v>
      </c>
      <c r="O25" s="5" t="s">
        <v>30</v>
      </c>
      <c r="P25" s="6"/>
      <c r="Q25" s="7" t="s">
        <v>12</v>
      </c>
      <c r="R25" s="6"/>
      <c r="S25" s="6">
        <f>SUM(S14,S24)</f>
        <v>10694</v>
      </c>
    </row>
    <row r="26" spans="1:19" x14ac:dyDescent="0.25">
      <c r="A26" s="8" t="s">
        <v>12</v>
      </c>
      <c r="B26" s="9"/>
      <c r="C26" s="7" t="s">
        <v>12</v>
      </c>
      <c r="D26" s="9"/>
      <c r="E26" s="9"/>
      <c r="H26" s="8" t="s">
        <v>12</v>
      </c>
      <c r="I26" s="9"/>
      <c r="J26" s="7" t="s">
        <v>12</v>
      </c>
      <c r="K26" s="9"/>
      <c r="L26" s="9"/>
      <c r="O26" s="8" t="s">
        <v>12</v>
      </c>
      <c r="P26" s="9"/>
      <c r="Q26" s="7" t="s">
        <v>12</v>
      </c>
      <c r="R26" s="9"/>
      <c r="S26" s="9"/>
    </row>
    <row r="27" spans="1:19" x14ac:dyDescent="0.25">
      <c r="A27" s="5" t="s">
        <v>31</v>
      </c>
      <c r="B27" s="6"/>
      <c r="C27" s="7" t="s">
        <v>12</v>
      </c>
      <c r="D27" s="6"/>
      <c r="E27" s="6"/>
      <c r="H27" s="5" t="s">
        <v>31</v>
      </c>
      <c r="I27" s="6"/>
      <c r="J27" s="7" t="s">
        <v>12</v>
      </c>
      <c r="K27" s="6"/>
      <c r="L27" s="6"/>
      <c r="O27" s="5" t="s">
        <v>31</v>
      </c>
      <c r="P27" s="6"/>
      <c r="Q27" s="7" t="s">
        <v>12</v>
      </c>
      <c r="R27" s="6"/>
      <c r="S27" s="6"/>
    </row>
    <row r="28" spans="1:19" x14ac:dyDescent="0.25">
      <c r="A28" s="8" t="s">
        <v>32</v>
      </c>
      <c r="B28" s="9">
        <v>-1</v>
      </c>
      <c r="C28" s="7" t="s">
        <v>12</v>
      </c>
      <c r="D28" s="9">
        <v>652.5</v>
      </c>
      <c r="E28" s="9">
        <f t="shared" ref="E28:E36" si="0">B28*D28</f>
        <v>-652.5</v>
      </c>
      <c r="H28" s="8" t="s">
        <v>32</v>
      </c>
      <c r="I28" s="9">
        <v>-1</v>
      </c>
      <c r="J28" s="7" t="s">
        <v>12</v>
      </c>
      <c r="K28" s="9">
        <v>652.5</v>
      </c>
      <c r="L28" s="9">
        <f t="shared" ref="L28:L36" si="1">I28*K28</f>
        <v>-652.5</v>
      </c>
      <c r="O28" s="8" t="s">
        <v>32</v>
      </c>
      <c r="P28" s="9">
        <v>-1</v>
      </c>
      <c r="Q28" s="7" t="s">
        <v>12</v>
      </c>
      <c r="R28" s="9">
        <v>725</v>
      </c>
      <c r="S28" s="9">
        <f t="shared" ref="S28:S36" si="2">P28*R28</f>
        <v>-725</v>
      </c>
    </row>
    <row r="29" spans="1:19" x14ac:dyDescent="0.25">
      <c r="A29" s="8" t="s">
        <v>33</v>
      </c>
      <c r="B29" s="9">
        <v>-2</v>
      </c>
      <c r="C29" s="7" t="s">
        <v>12</v>
      </c>
      <c r="D29" s="9">
        <v>142.5</v>
      </c>
      <c r="E29" s="9">
        <f t="shared" si="0"/>
        <v>-285</v>
      </c>
      <c r="H29" s="8" t="s">
        <v>33</v>
      </c>
      <c r="I29" s="9">
        <v>-2</v>
      </c>
      <c r="J29" s="7" t="s">
        <v>12</v>
      </c>
      <c r="K29" s="9">
        <v>142.5</v>
      </c>
      <c r="L29" s="9">
        <f t="shared" si="1"/>
        <v>-285</v>
      </c>
      <c r="O29" s="8" t="s">
        <v>33</v>
      </c>
      <c r="P29" s="9">
        <v>-2</v>
      </c>
      <c r="Q29" s="7" t="s">
        <v>12</v>
      </c>
      <c r="R29" s="9">
        <v>150</v>
      </c>
      <c r="S29" s="9">
        <f t="shared" si="2"/>
        <v>-300</v>
      </c>
    </row>
    <row r="30" spans="1:19" x14ac:dyDescent="0.25">
      <c r="A30" s="8" t="s">
        <v>34</v>
      </c>
      <c r="B30" s="9">
        <v>-1</v>
      </c>
      <c r="C30" s="7" t="s">
        <v>12</v>
      </c>
      <c r="D30" s="9">
        <v>380</v>
      </c>
      <c r="E30" s="9">
        <f t="shared" si="0"/>
        <v>-380</v>
      </c>
      <c r="H30" s="8" t="s">
        <v>34</v>
      </c>
      <c r="I30" s="9">
        <v>-1</v>
      </c>
      <c r="J30" s="7" t="s">
        <v>12</v>
      </c>
      <c r="K30" s="9">
        <v>380</v>
      </c>
      <c r="L30" s="9">
        <f t="shared" si="1"/>
        <v>-380</v>
      </c>
      <c r="O30" s="8" t="s">
        <v>34</v>
      </c>
      <c r="P30" s="9">
        <v>-1</v>
      </c>
      <c r="Q30" s="7" t="s">
        <v>12</v>
      </c>
      <c r="R30" s="9">
        <v>400</v>
      </c>
      <c r="S30" s="9">
        <f t="shared" si="2"/>
        <v>-400</v>
      </c>
    </row>
    <row r="31" spans="1:19" x14ac:dyDescent="0.25">
      <c r="A31" s="8" t="s">
        <v>35</v>
      </c>
      <c r="B31" s="9">
        <v>-5</v>
      </c>
      <c r="C31" s="7" t="s">
        <v>12</v>
      </c>
      <c r="D31" s="9">
        <v>180</v>
      </c>
      <c r="E31" s="9">
        <f t="shared" si="0"/>
        <v>-900</v>
      </c>
      <c r="H31" s="8" t="s">
        <v>35</v>
      </c>
      <c r="I31" s="9">
        <v>-5</v>
      </c>
      <c r="J31" s="7" t="s">
        <v>12</v>
      </c>
      <c r="K31" s="9">
        <v>180</v>
      </c>
      <c r="L31" s="9">
        <f t="shared" si="1"/>
        <v>-900</v>
      </c>
      <c r="O31" s="8" t="s">
        <v>35</v>
      </c>
      <c r="P31" s="9">
        <v>-5</v>
      </c>
      <c r="Q31" s="7" t="s">
        <v>12</v>
      </c>
      <c r="R31" s="9">
        <v>180</v>
      </c>
      <c r="S31" s="9">
        <f t="shared" si="2"/>
        <v>-900</v>
      </c>
    </row>
    <row r="32" spans="1:19" x14ac:dyDescent="0.25">
      <c r="A32" s="8" t="s">
        <v>36</v>
      </c>
      <c r="B32" s="9">
        <v>-1</v>
      </c>
      <c r="C32" s="7" t="s">
        <v>12</v>
      </c>
      <c r="D32" s="9">
        <v>829</v>
      </c>
      <c r="E32" s="9">
        <f t="shared" si="0"/>
        <v>-829</v>
      </c>
      <c r="H32" s="8" t="s">
        <v>36</v>
      </c>
      <c r="I32" s="9">
        <v>-1</v>
      </c>
      <c r="J32" s="7" t="s">
        <v>12</v>
      </c>
      <c r="K32" s="9">
        <v>970</v>
      </c>
      <c r="L32" s="9">
        <f t="shared" si="1"/>
        <v>-970</v>
      </c>
      <c r="O32" s="8" t="s">
        <v>36</v>
      </c>
      <c r="P32" s="9">
        <v>-1</v>
      </c>
      <c r="Q32" s="7" t="s">
        <v>12</v>
      </c>
      <c r="R32" s="9">
        <v>1077</v>
      </c>
      <c r="S32" s="9">
        <f t="shared" si="2"/>
        <v>-1077</v>
      </c>
    </row>
    <row r="33" spans="1:19" x14ac:dyDescent="0.25">
      <c r="A33" s="8" t="s">
        <v>37</v>
      </c>
      <c r="B33" s="9">
        <v>-1</v>
      </c>
      <c r="C33" s="7" t="s">
        <v>12</v>
      </c>
      <c r="D33" s="9">
        <v>390</v>
      </c>
      <c r="E33" s="9">
        <f t="shared" si="0"/>
        <v>-390</v>
      </c>
      <c r="H33" s="8" t="s">
        <v>37</v>
      </c>
      <c r="I33" s="9">
        <v>-1</v>
      </c>
      <c r="J33" s="7" t="s">
        <v>12</v>
      </c>
      <c r="K33" s="9">
        <v>457</v>
      </c>
      <c r="L33" s="9">
        <f t="shared" si="1"/>
        <v>-457</v>
      </c>
      <c r="O33" s="8" t="s">
        <v>37</v>
      </c>
      <c r="P33" s="9">
        <v>-1</v>
      </c>
      <c r="Q33" s="7" t="s">
        <v>12</v>
      </c>
      <c r="R33" s="9">
        <v>507</v>
      </c>
      <c r="S33" s="9">
        <f t="shared" si="2"/>
        <v>-507</v>
      </c>
    </row>
    <row r="34" spans="1:19" x14ac:dyDescent="0.25">
      <c r="A34" s="8" t="s">
        <v>38</v>
      </c>
      <c r="B34" s="9">
        <v>-5700</v>
      </c>
      <c r="C34" s="7" t="s">
        <v>12</v>
      </c>
      <c r="D34" s="11">
        <v>0.09</v>
      </c>
      <c r="E34" s="9">
        <f t="shared" si="0"/>
        <v>-513</v>
      </c>
      <c r="H34" s="8" t="s">
        <v>38</v>
      </c>
      <c r="I34" s="9">
        <v>-7600</v>
      </c>
      <c r="J34" s="7" t="s">
        <v>12</v>
      </c>
      <c r="K34" s="11">
        <v>0.09</v>
      </c>
      <c r="L34" s="9">
        <f t="shared" si="1"/>
        <v>-684</v>
      </c>
      <c r="O34" s="8" t="s">
        <v>38</v>
      </c>
      <c r="P34" s="9">
        <v>-9100</v>
      </c>
      <c r="Q34" s="7" t="s">
        <v>12</v>
      </c>
      <c r="R34" s="11">
        <v>0.09</v>
      </c>
      <c r="S34" s="9">
        <f t="shared" si="2"/>
        <v>-819</v>
      </c>
    </row>
    <row r="35" spans="1:19" x14ac:dyDescent="0.25">
      <c r="A35" s="8" t="s">
        <v>39</v>
      </c>
      <c r="B35" s="12">
        <v>-5.8</v>
      </c>
      <c r="C35" s="7" t="s">
        <v>12</v>
      </c>
      <c r="D35" s="9">
        <v>85</v>
      </c>
      <c r="E35" s="9">
        <f t="shared" si="0"/>
        <v>-493</v>
      </c>
      <c r="H35" s="8" t="s">
        <v>39</v>
      </c>
      <c r="I35" s="12">
        <v>-8</v>
      </c>
      <c r="J35" s="7" t="s">
        <v>12</v>
      </c>
      <c r="K35" s="9">
        <v>85</v>
      </c>
      <c r="L35" s="9">
        <f t="shared" si="1"/>
        <v>-680</v>
      </c>
      <c r="O35" s="8" t="s">
        <v>39</v>
      </c>
      <c r="P35" s="12">
        <v>-9.6</v>
      </c>
      <c r="Q35" s="7" t="s">
        <v>12</v>
      </c>
      <c r="R35" s="9">
        <v>85</v>
      </c>
      <c r="S35" s="9">
        <f t="shared" si="2"/>
        <v>-816</v>
      </c>
    </row>
    <row r="36" spans="1:19" x14ac:dyDescent="0.25">
      <c r="A36" s="8" t="s">
        <v>40</v>
      </c>
      <c r="B36" s="9">
        <v>-1</v>
      </c>
      <c r="C36" s="7" t="s">
        <v>12</v>
      </c>
      <c r="D36" s="9">
        <v>210</v>
      </c>
      <c r="E36" s="9">
        <f t="shared" si="0"/>
        <v>-210</v>
      </c>
      <c r="H36" s="8" t="s">
        <v>40</v>
      </c>
      <c r="I36" s="9">
        <v>-1</v>
      </c>
      <c r="J36" s="7" t="s">
        <v>12</v>
      </c>
      <c r="K36" s="9">
        <v>248</v>
      </c>
      <c r="L36" s="9">
        <f t="shared" si="1"/>
        <v>-248</v>
      </c>
      <c r="O36" s="8" t="s">
        <v>40</v>
      </c>
      <c r="P36" s="9">
        <v>-1</v>
      </c>
      <c r="Q36" s="7" t="s">
        <v>12</v>
      </c>
      <c r="R36" s="9">
        <v>278</v>
      </c>
      <c r="S36" s="9">
        <f t="shared" si="2"/>
        <v>-278</v>
      </c>
    </row>
    <row r="37" spans="1:19" x14ac:dyDescent="0.25">
      <c r="A37" s="8" t="s">
        <v>41</v>
      </c>
      <c r="B37" s="9"/>
      <c r="C37" s="7" t="s">
        <v>12</v>
      </c>
      <c r="D37" s="9"/>
      <c r="E37" s="9">
        <v>-500</v>
      </c>
      <c r="H37" s="8" t="s">
        <v>53</v>
      </c>
      <c r="I37" s="9">
        <v>-1</v>
      </c>
      <c r="J37" s="7" t="s">
        <v>12</v>
      </c>
      <c r="K37" s="9">
        <v>1225</v>
      </c>
      <c r="L37" s="38"/>
      <c r="O37" s="8" t="s">
        <v>41</v>
      </c>
      <c r="P37" s="9"/>
      <c r="Q37" s="7" t="s">
        <v>12</v>
      </c>
      <c r="R37" s="9"/>
      <c r="S37" s="9">
        <v>-500</v>
      </c>
    </row>
    <row r="38" spans="1:19" x14ac:dyDescent="0.25">
      <c r="A38" s="5" t="s">
        <v>42</v>
      </c>
      <c r="B38" s="6"/>
      <c r="C38" s="7" t="s">
        <v>12</v>
      </c>
      <c r="D38" s="6"/>
      <c r="E38" s="6">
        <f>SUM(E28:E37)</f>
        <v>-5152.5</v>
      </c>
      <c r="H38" s="8" t="s">
        <v>54</v>
      </c>
      <c r="I38" s="9">
        <v>-3</v>
      </c>
      <c r="J38" s="7" t="s">
        <v>12</v>
      </c>
      <c r="K38" s="9">
        <v>125</v>
      </c>
      <c r="L38" s="38"/>
      <c r="O38" s="5" t="s">
        <v>42</v>
      </c>
      <c r="P38" s="6"/>
      <c r="Q38" s="7" t="s">
        <v>12</v>
      </c>
      <c r="R38" s="6"/>
      <c r="S38" s="6">
        <f>SUM(S28:S37)</f>
        <v>-6322</v>
      </c>
    </row>
    <row r="39" spans="1:19" x14ac:dyDescent="0.25">
      <c r="A39" s="8" t="s">
        <v>43</v>
      </c>
      <c r="B39" s="9"/>
      <c r="C39" s="7" t="s">
        <v>12</v>
      </c>
      <c r="D39" s="9"/>
      <c r="E39" s="9">
        <f>SUM(E25,E38)</f>
        <v>-277.50000000000091</v>
      </c>
      <c r="H39" s="8" t="s">
        <v>55</v>
      </c>
      <c r="I39" s="9">
        <v>-105</v>
      </c>
      <c r="J39" s="7" t="s">
        <v>12</v>
      </c>
      <c r="K39" s="9">
        <v>5</v>
      </c>
      <c r="L39" s="38"/>
      <c r="O39" s="8" t="s">
        <v>43</v>
      </c>
      <c r="P39" s="9"/>
      <c r="Q39" s="7" t="s">
        <v>12</v>
      </c>
      <c r="R39" s="9"/>
      <c r="S39" s="9">
        <f>SUM(S25,S38)</f>
        <v>4372</v>
      </c>
    </row>
    <row r="40" spans="1:19" x14ac:dyDescent="0.25">
      <c r="H40" s="8" t="s">
        <v>41</v>
      </c>
      <c r="I40" s="9"/>
      <c r="J40" s="7" t="s">
        <v>12</v>
      </c>
      <c r="K40" s="9"/>
      <c r="L40" s="9">
        <v>-500</v>
      </c>
    </row>
    <row r="41" spans="1:19" x14ac:dyDescent="0.25">
      <c r="H41" s="5" t="s">
        <v>42</v>
      </c>
      <c r="I41" s="6"/>
      <c r="J41" s="7" t="s">
        <v>12</v>
      </c>
      <c r="K41" s="6"/>
      <c r="L41" s="6">
        <f>SUM(L28:L40)</f>
        <v>-5756.5</v>
      </c>
    </row>
    <row r="42" spans="1:19" x14ac:dyDescent="0.25">
      <c r="H42" s="8" t="s">
        <v>43</v>
      </c>
      <c r="I42" s="9"/>
      <c r="J42" s="7" t="s">
        <v>12</v>
      </c>
      <c r="K42" s="9"/>
      <c r="L42" s="9">
        <f>SUM(L25,L41)</f>
        <v>1869</v>
      </c>
    </row>
    <row r="43" spans="1:19" x14ac:dyDescent="0.25">
      <c r="A43" s="2" t="s">
        <v>44</v>
      </c>
      <c r="O43" s="2" t="s">
        <v>44</v>
      </c>
    </row>
    <row r="45" spans="1:19" x14ac:dyDescent="0.25">
      <c r="A45" s="2" t="s">
        <v>45</v>
      </c>
      <c r="O45" s="2" t="s">
        <v>45</v>
      </c>
    </row>
    <row r="46" spans="1:19" x14ac:dyDescent="0.25">
      <c r="A46" s="2" t="s">
        <v>46</v>
      </c>
      <c r="H46" s="2" t="s">
        <v>44</v>
      </c>
      <c r="O46" s="2" t="s">
        <v>46</v>
      </c>
    </row>
    <row r="48" spans="1:19" x14ac:dyDescent="0.25">
      <c r="A48" s="2" t="s">
        <v>47</v>
      </c>
      <c r="H48" s="2" t="s">
        <v>45</v>
      </c>
      <c r="O48" s="2" t="s">
        <v>47</v>
      </c>
    </row>
    <row r="49" spans="1:15" x14ac:dyDescent="0.25">
      <c r="A49" s="2" t="s">
        <v>48</v>
      </c>
      <c r="H49" s="2" t="s">
        <v>46</v>
      </c>
      <c r="O49" s="2" t="s">
        <v>48</v>
      </c>
    </row>
    <row r="51" spans="1:15" x14ac:dyDescent="0.25">
      <c r="H51" s="2" t="s">
        <v>47</v>
      </c>
    </row>
    <row r="52" spans="1:15" x14ac:dyDescent="0.25">
      <c r="H52" s="2" t="s">
        <v>48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"/>
  <sheetViews>
    <sheetView topLeftCell="H1" workbookViewId="0">
      <selection activeCell="P14" sqref="P14"/>
    </sheetView>
  </sheetViews>
  <sheetFormatPr defaultRowHeight="15" x14ac:dyDescent="0.25"/>
  <cols>
    <col min="1" max="1" width="33" style="1" hidden="1" customWidth="1"/>
    <col min="2" max="5" width="7.7109375" style="1" hidden="1" customWidth="1"/>
    <col min="6" max="7" width="3.85546875" style="1" hidden="1" customWidth="1"/>
    <col min="8" max="8" width="34.5703125" style="1" customWidth="1"/>
    <col min="9" max="12" width="7.7109375" style="1" customWidth="1"/>
    <col min="13" max="14" width="3.5703125" style="1" customWidth="1"/>
    <col min="15" max="15" width="25.140625" style="1" customWidth="1"/>
    <col min="16" max="19" width="7.7109375" style="1" customWidth="1"/>
    <col min="20" max="16384" width="9.140625" style="1"/>
  </cols>
  <sheetData>
    <row r="1" spans="1:19" ht="18.75" x14ac:dyDescent="0.3">
      <c r="H1" s="37" t="s">
        <v>60</v>
      </c>
    </row>
    <row r="3" spans="1:19" x14ac:dyDescent="0.25">
      <c r="A3" s="1" t="s">
        <v>107</v>
      </c>
      <c r="H3" s="1" t="s">
        <v>107</v>
      </c>
      <c r="O3" s="1" t="s">
        <v>107</v>
      </c>
    </row>
    <row r="4" spans="1:19" x14ac:dyDescent="0.25">
      <c r="A4" s="2" t="s">
        <v>1</v>
      </c>
      <c r="B4" s="2" t="s">
        <v>107</v>
      </c>
      <c r="H4" s="2" t="s">
        <v>1</v>
      </c>
      <c r="I4" s="2" t="s">
        <v>107</v>
      </c>
      <c r="O4" s="2" t="s">
        <v>1</v>
      </c>
      <c r="P4" s="2" t="s">
        <v>107</v>
      </c>
    </row>
    <row r="5" spans="1:19" x14ac:dyDescent="0.25">
      <c r="A5" s="2" t="s">
        <v>2</v>
      </c>
      <c r="B5" s="2" t="s">
        <v>3</v>
      </c>
      <c r="H5" s="2" t="s">
        <v>2</v>
      </c>
      <c r="I5" s="2" t="s">
        <v>3</v>
      </c>
      <c r="O5" s="2" t="s">
        <v>2</v>
      </c>
      <c r="P5" s="2" t="s">
        <v>3</v>
      </c>
    </row>
    <row r="6" spans="1:19" x14ac:dyDescent="0.25">
      <c r="A6" s="2" t="s">
        <v>4</v>
      </c>
      <c r="B6" s="2" t="s">
        <v>5</v>
      </c>
      <c r="H6" s="2" t="s">
        <v>4</v>
      </c>
      <c r="I6" s="2" t="s">
        <v>5</v>
      </c>
      <c r="O6" s="2" t="s">
        <v>4</v>
      </c>
      <c r="P6" s="2" t="s">
        <v>5</v>
      </c>
    </row>
    <row r="7" spans="1:19" x14ac:dyDescent="0.25">
      <c r="A7" s="2" t="s">
        <v>6</v>
      </c>
      <c r="B7" s="2" t="s">
        <v>49</v>
      </c>
      <c r="H7" s="2" t="s">
        <v>6</v>
      </c>
      <c r="I7" s="2" t="s">
        <v>113</v>
      </c>
      <c r="O7" s="2" t="s">
        <v>6</v>
      </c>
      <c r="P7" s="2" t="s">
        <v>7</v>
      </c>
    </row>
    <row r="8" spans="1:19" x14ac:dyDescent="0.25">
      <c r="A8" s="2" t="s">
        <v>8</v>
      </c>
      <c r="B8" s="2" t="s">
        <v>9</v>
      </c>
      <c r="H8" s="2" t="s">
        <v>8</v>
      </c>
      <c r="I8" s="2" t="s">
        <v>9</v>
      </c>
      <c r="O8" s="2" t="s">
        <v>8</v>
      </c>
      <c r="P8" s="2" t="s">
        <v>9</v>
      </c>
    </row>
    <row r="11" spans="1:19" x14ac:dyDescent="0.25">
      <c r="A11" s="3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H11" s="3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O11" s="3" t="s">
        <v>10</v>
      </c>
      <c r="P11" s="4" t="s">
        <v>11</v>
      </c>
      <c r="Q11" s="4" t="s">
        <v>12</v>
      </c>
      <c r="R11" s="4" t="s">
        <v>13</v>
      </c>
      <c r="S11" s="4" t="s">
        <v>14</v>
      </c>
    </row>
    <row r="12" spans="1:19" x14ac:dyDescent="0.25">
      <c r="A12" s="5" t="s">
        <v>15</v>
      </c>
      <c r="B12" s="6"/>
      <c r="C12" s="7" t="s">
        <v>12</v>
      </c>
      <c r="D12" s="6"/>
      <c r="E12" s="6"/>
      <c r="H12" s="5" t="s">
        <v>15</v>
      </c>
      <c r="I12" s="6"/>
      <c r="J12" s="7" t="s">
        <v>12</v>
      </c>
      <c r="K12" s="6"/>
      <c r="L12" s="6"/>
      <c r="O12" s="5" t="s">
        <v>15</v>
      </c>
      <c r="P12" s="6"/>
      <c r="Q12" s="7" t="s">
        <v>12</v>
      </c>
      <c r="R12" s="6"/>
      <c r="S12" s="6"/>
    </row>
    <row r="13" spans="1:19" x14ac:dyDescent="0.25">
      <c r="A13" s="8" t="s">
        <v>16</v>
      </c>
      <c r="B13" s="9">
        <v>6400</v>
      </c>
      <c r="C13" s="7" t="s">
        <v>17</v>
      </c>
      <c r="D13" s="10">
        <v>1</v>
      </c>
      <c r="E13" s="9">
        <f>B13*D13</f>
        <v>6400</v>
      </c>
      <c r="H13" s="8" t="s">
        <v>16</v>
      </c>
      <c r="I13" s="9">
        <v>7700</v>
      </c>
      <c r="J13" s="7" t="s">
        <v>17</v>
      </c>
      <c r="K13" s="10">
        <v>1.2</v>
      </c>
      <c r="L13" s="9">
        <f>I13*K13</f>
        <v>9240</v>
      </c>
      <c r="O13" s="8" t="s">
        <v>16</v>
      </c>
      <c r="P13" s="9">
        <v>9100</v>
      </c>
      <c r="Q13" s="7" t="s">
        <v>17</v>
      </c>
      <c r="R13" s="10">
        <v>1.2</v>
      </c>
      <c r="S13" s="9">
        <f>P13*R13</f>
        <v>10920</v>
      </c>
    </row>
    <row r="14" spans="1:19" x14ac:dyDescent="0.25">
      <c r="A14" s="8" t="s">
        <v>18</v>
      </c>
      <c r="B14" s="9">
        <v>4200</v>
      </c>
      <c r="C14" s="7" t="s">
        <v>17</v>
      </c>
      <c r="D14" s="10">
        <v>0.5</v>
      </c>
      <c r="E14" s="9">
        <f>B14*D14</f>
        <v>2100</v>
      </c>
      <c r="H14" s="8" t="s">
        <v>18</v>
      </c>
      <c r="I14" s="9">
        <v>5400</v>
      </c>
      <c r="J14" s="7" t="s">
        <v>17</v>
      </c>
      <c r="K14" s="10">
        <v>0.5</v>
      </c>
      <c r="L14" s="9">
        <f>I14*K14</f>
        <v>2700</v>
      </c>
      <c r="O14" s="8" t="s">
        <v>18</v>
      </c>
      <c r="P14" s="9">
        <v>6200</v>
      </c>
      <c r="Q14" s="7" t="s">
        <v>17</v>
      </c>
      <c r="R14" s="10">
        <v>0.5</v>
      </c>
      <c r="S14" s="9">
        <f>P14*R14</f>
        <v>3100</v>
      </c>
    </row>
    <row r="15" spans="1:19" x14ac:dyDescent="0.25">
      <c r="A15" s="5" t="s">
        <v>50</v>
      </c>
      <c r="B15" s="6"/>
      <c r="C15" s="7" t="s">
        <v>12</v>
      </c>
      <c r="D15" s="6"/>
      <c r="E15" s="6">
        <f>SUM(E13:E14)</f>
        <v>8500</v>
      </c>
      <c r="H15" s="5" t="s">
        <v>50</v>
      </c>
      <c r="I15" s="6"/>
      <c r="J15" s="7" t="s">
        <v>12</v>
      </c>
      <c r="K15" s="6"/>
      <c r="L15" s="6">
        <f>SUM(L13:L14)</f>
        <v>11940</v>
      </c>
      <c r="O15" s="5" t="s">
        <v>50</v>
      </c>
      <c r="P15" s="6"/>
      <c r="Q15" s="7" t="s">
        <v>12</v>
      </c>
      <c r="R15" s="6"/>
      <c r="S15" s="6">
        <f>SUM(S13:S14)</f>
        <v>14020</v>
      </c>
    </row>
    <row r="16" spans="1:19" x14ac:dyDescent="0.25">
      <c r="A16" s="8" t="s">
        <v>12</v>
      </c>
      <c r="B16" s="9"/>
      <c r="C16" s="7" t="s">
        <v>12</v>
      </c>
      <c r="D16" s="9"/>
      <c r="E16" s="9"/>
      <c r="H16" s="8" t="s">
        <v>12</v>
      </c>
      <c r="I16" s="9"/>
      <c r="J16" s="7" t="s">
        <v>12</v>
      </c>
      <c r="K16" s="9"/>
      <c r="L16" s="9"/>
      <c r="O16" s="8" t="s">
        <v>12</v>
      </c>
      <c r="P16" s="9"/>
      <c r="Q16" s="7" t="s">
        <v>12</v>
      </c>
      <c r="R16" s="9"/>
      <c r="S16" s="9"/>
    </row>
    <row r="17" spans="1:19" x14ac:dyDescent="0.25">
      <c r="A17" s="5" t="s">
        <v>20</v>
      </c>
      <c r="B17" s="6"/>
      <c r="C17" s="7" t="s">
        <v>12</v>
      </c>
      <c r="D17" s="6"/>
      <c r="E17" s="6"/>
      <c r="H17" s="5" t="s">
        <v>20</v>
      </c>
      <c r="I17" s="6"/>
      <c r="J17" s="7" t="s">
        <v>12</v>
      </c>
      <c r="K17" s="6"/>
      <c r="L17" s="6"/>
      <c r="O17" s="5" t="s">
        <v>20</v>
      </c>
      <c r="P17" s="6"/>
      <c r="Q17" s="7" t="s">
        <v>12</v>
      </c>
      <c r="R17" s="6"/>
      <c r="S17" s="6"/>
    </row>
    <row r="18" spans="1:19" x14ac:dyDescent="0.25">
      <c r="A18" s="8" t="s">
        <v>21</v>
      </c>
      <c r="B18" s="12">
        <v>-1.7</v>
      </c>
      <c r="C18" s="7" t="s">
        <v>108</v>
      </c>
      <c r="D18" s="10">
        <v>375</v>
      </c>
      <c r="E18" s="9">
        <f>B18*D18</f>
        <v>-637.5</v>
      </c>
      <c r="H18" s="8" t="s">
        <v>21</v>
      </c>
      <c r="I18" s="12">
        <v>-1.7</v>
      </c>
      <c r="J18" s="7" t="s">
        <v>108</v>
      </c>
      <c r="K18" s="10">
        <v>375</v>
      </c>
      <c r="L18" s="9">
        <f>I18*K18</f>
        <v>-637.5</v>
      </c>
      <c r="O18" s="8" t="s">
        <v>21</v>
      </c>
      <c r="P18" s="12">
        <v>-1.7</v>
      </c>
      <c r="Q18" s="7" t="s">
        <v>108</v>
      </c>
      <c r="R18" s="10">
        <v>375</v>
      </c>
      <c r="S18" s="9">
        <f>P18*R18</f>
        <v>-637.5</v>
      </c>
    </row>
    <row r="19" spans="1:19" x14ac:dyDescent="0.25">
      <c r="A19" s="8" t="s">
        <v>22</v>
      </c>
      <c r="B19" s="9">
        <v>-150</v>
      </c>
      <c r="C19" s="7" t="s">
        <v>17</v>
      </c>
      <c r="D19" s="10">
        <v>5.5</v>
      </c>
      <c r="E19" s="9">
        <f>B19*D19</f>
        <v>-825</v>
      </c>
      <c r="H19" s="8" t="s">
        <v>22</v>
      </c>
      <c r="I19" s="9">
        <v>-168</v>
      </c>
      <c r="J19" s="7" t="s">
        <v>17</v>
      </c>
      <c r="K19" s="10">
        <v>5.5</v>
      </c>
      <c r="L19" s="9">
        <f>I19*K19</f>
        <v>-924</v>
      </c>
      <c r="O19" s="8" t="s">
        <v>22</v>
      </c>
      <c r="P19" s="9">
        <v>-166</v>
      </c>
      <c r="Q19" s="7" t="s">
        <v>17</v>
      </c>
      <c r="R19" s="10">
        <v>5.5</v>
      </c>
      <c r="S19" s="9">
        <f>P19*R19</f>
        <v>-913</v>
      </c>
    </row>
    <row r="20" spans="1:19" x14ac:dyDescent="0.25">
      <c r="A20" s="8" t="s">
        <v>23</v>
      </c>
      <c r="B20" s="9">
        <v>-18</v>
      </c>
      <c r="C20" s="7" t="s">
        <v>17</v>
      </c>
      <c r="D20" s="10">
        <v>9</v>
      </c>
      <c r="E20" s="9">
        <f>B20*D20</f>
        <v>-162</v>
      </c>
      <c r="H20" s="8" t="s">
        <v>23</v>
      </c>
      <c r="I20" s="9">
        <v>-23</v>
      </c>
      <c r="J20" s="7" t="s">
        <v>17</v>
      </c>
      <c r="K20" s="10">
        <v>9</v>
      </c>
      <c r="L20" s="9">
        <f>I20*K20</f>
        <v>-207</v>
      </c>
      <c r="O20" s="8" t="s">
        <v>23</v>
      </c>
      <c r="P20" s="9">
        <v>-27</v>
      </c>
      <c r="Q20" s="7" t="s">
        <v>17</v>
      </c>
      <c r="R20" s="10">
        <v>9</v>
      </c>
      <c r="S20" s="9">
        <f>P20*R20</f>
        <v>-243</v>
      </c>
    </row>
    <row r="21" spans="1:19" x14ac:dyDescent="0.25">
      <c r="A21" s="8" t="s">
        <v>24</v>
      </c>
      <c r="B21" s="9">
        <v>-87</v>
      </c>
      <c r="C21" s="7" t="s">
        <v>17</v>
      </c>
      <c r="D21" s="10">
        <v>6</v>
      </c>
      <c r="E21" s="9">
        <f>B21*D21</f>
        <v>-522</v>
      </c>
      <c r="H21" s="8" t="s">
        <v>24</v>
      </c>
      <c r="I21" s="9">
        <v>-106</v>
      </c>
      <c r="J21" s="7" t="s">
        <v>17</v>
      </c>
      <c r="K21" s="10">
        <v>6</v>
      </c>
      <c r="L21" s="9">
        <f>I21*K21</f>
        <v>-636</v>
      </c>
      <c r="O21" s="8" t="s">
        <v>24</v>
      </c>
      <c r="P21" s="9">
        <v>-100</v>
      </c>
      <c r="Q21" s="7" t="s">
        <v>17</v>
      </c>
      <c r="R21" s="10">
        <v>6</v>
      </c>
      <c r="S21" s="9">
        <f>P21*R21</f>
        <v>-600</v>
      </c>
    </row>
    <row r="22" spans="1:19" x14ac:dyDescent="0.25">
      <c r="A22" s="8" t="s">
        <v>25</v>
      </c>
      <c r="B22" s="9"/>
      <c r="C22" s="7" t="s">
        <v>26</v>
      </c>
      <c r="D22" s="9"/>
      <c r="E22" s="9">
        <v>-410</v>
      </c>
      <c r="H22" s="8" t="s">
        <v>25</v>
      </c>
      <c r="I22" s="9"/>
      <c r="J22" s="7" t="s">
        <v>26</v>
      </c>
      <c r="K22" s="9"/>
      <c r="L22" s="9">
        <v>-410</v>
      </c>
      <c r="O22" s="8" t="s">
        <v>25</v>
      </c>
      <c r="P22" s="9"/>
      <c r="Q22" s="7" t="s">
        <v>26</v>
      </c>
      <c r="R22" s="9"/>
      <c r="S22" s="9">
        <v>-410</v>
      </c>
    </row>
    <row r="23" spans="1:19" x14ac:dyDescent="0.25">
      <c r="A23" s="8" t="s">
        <v>27</v>
      </c>
      <c r="B23" s="9"/>
      <c r="C23" s="7" t="s">
        <v>26</v>
      </c>
      <c r="D23" s="9"/>
      <c r="E23" s="9">
        <v>-135</v>
      </c>
      <c r="H23" s="8" t="s">
        <v>27</v>
      </c>
      <c r="I23" s="9"/>
      <c r="J23" s="7" t="s">
        <v>26</v>
      </c>
      <c r="K23" s="9"/>
      <c r="L23" s="9">
        <v>-135</v>
      </c>
      <c r="O23" s="8" t="s">
        <v>27</v>
      </c>
      <c r="P23" s="9"/>
      <c r="Q23" s="7" t="s">
        <v>26</v>
      </c>
      <c r="R23" s="9"/>
      <c r="S23" s="9">
        <v>-135</v>
      </c>
    </row>
    <row r="24" spans="1:19" x14ac:dyDescent="0.25">
      <c r="A24" s="8" t="s">
        <v>28</v>
      </c>
      <c r="B24" s="9"/>
      <c r="C24" s="7" t="s">
        <v>26</v>
      </c>
      <c r="D24" s="9"/>
      <c r="E24" s="9">
        <v>-10</v>
      </c>
      <c r="H24" s="8" t="s">
        <v>28</v>
      </c>
      <c r="I24" s="9"/>
      <c r="J24" s="7" t="s">
        <v>26</v>
      </c>
      <c r="K24" s="9"/>
      <c r="L24" s="9">
        <v>-10</v>
      </c>
      <c r="O24" s="8" t="s">
        <v>28</v>
      </c>
      <c r="P24" s="9"/>
      <c r="Q24" s="7" t="s">
        <v>26</v>
      </c>
      <c r="R24" s="9"/>
      <c r="S24" s="9">
        <v>-10</v>
      </c>
    </row>
    <row r="25" spans="1:19" x14ac:dyDescent="0.25">
      <c r="A25" s="8" t="s">
        <v>51</v>
      </c>
      <c r="B25" s="9"/>
      <c r="C25" s="7" t="s">
        <v>26</v>
      </c>
      <c r="D25" s="9"/>
      <c r="E25" s="9"/>
      <c r="H25" s="8" t="s">
        <v>51</v>
      </c>
      <c r="I25" s="9"/>
      <c r="J25" s="7" t="s">
        <v>26</v>
      </c>
      <c r="K25" s="9"/>
      <c r="L25" s="9"/>
      <c r="O25" s="8" t="s">
        <v>51</v>
      </c>
      <c r="P25" s="9"/>
      <c r="Q25" s="7" t="s">
        <v>26</v>
      </c>
      <c r="R25" s="9"/>
      <c r="S25" s="9"/>
    </row>
    <row r="26" spans="1:19" x14ac:dyDescent="0.25">
      <c r="A26" s="5" t="s">
        <v>29</v>
      </c>
      <c r="B26" s="6"/>
      <c r="C26" s="7" t="s">
        <v>12</v>
      </c>
      <c r="D26" s="6"/>
      <c r="E26" s="6">
        <f>SUM(E17:E25)</f>
        <v>-2701.5</v>
      </c>
      <c r="H26" s="5" t="s">
        <v>29</v>
      </c>
      <c r="I26" s="6"/>
      <c r="J26" s="7" t="s">
        <v>12</v>
      </c>
      <c r="K26" s="6"/>
      <c r="L26" s="6">
        <f>SUM(L17:L25)</f>
        <v>-2959.5</v>
      </c>
      <c r="O26" s="5" t="s">
        <v>29</v>
      </c>
      <c r="P26" s="6"/>
      <c r="Q26" s="7" t="s">
        <v>12</v>
      </c>
      <c r="R26" s="6"/>
      <c r="S26" s="6">
        <f>SUM(S17:S25)</f>
        <v>-2948.5</v>
      </c>
    </row>
    <row r="27" spans="1:19" x14ac:dyDescent="0.25">
      <c r="A27" s="5" t="s">
        <v>52</v>
      </c>
      <c r="B27" s="6"/>
      <c r="C27" s="7" t="s">
        <v>12</v>
      </c>
      <c r="D27" s="6"/>
      <c r="E27" s="6">
        <f>SUM(E15,E26)</f>
        <v>5798.5</v>
      </c>
      <c r="H27" s="5" t="s">
        <v>52</v>
      </c>
      <c r="I27" s="6"/>
      <c r="J27" s="7" t="s">
        <v>12</v>
      </c>
      <c r="K27" s="6"/>
      <c r="L27" s="6">
        <f>SUM(L15,L26)</f>
        <v>8980.5</v>
      </c>
      <c r="O27" s="5" t="s">
        <v>52</v>
      </c>
      <c r="P27" s="6"/>
      <c r="Q27" s="7" t="s">
        <v>12</v>
      </c>
      <c r="R27" s="6"/>
      <c r="S27" s="6">
        <f>SUM(S15,S26)</f>
        <v>11071.5</v>
      </c>
    </row>
    <row r="28" spans="1:19" x14ac:dyDescent="0.25">
      <c r="A28" s="8" t="s">
        <v>12</v>
      </c>
      <c r="B28" s="9"/>
      <c r="C28" s="7" t="s">
        <v>12</v>
      </c>
      <c r="D28" s="9"/>
      <c r="E28" s="9"/>
      <c r="H28" s="8" t="s">
        <v>12</v>
      </c>
      <c r="I28" s="9"/>
      <c r="J28" s="7" t="s">
        <v>12</v>
      </c>
      <c r="K28" s="9"/>
      <c r="L28" s="9"/>
      <c r="O28" s="8" t="s">
        <v>12</v>
      </c>
      <c r="P28" s="9"/>
      <c r="Q28" s="7" t="s">
        <v>12</v>
      </c>
      <c r="R28" s="9"/>
      <c r="S28" s="9"/>
    </row>
    <row r="29" spans="1:19" x14ac:dyDescent="0.25">
      <c r="A29" s="5" t="s">
        <v>31</v>
      </c>
      <c r="B29" s="6"/>
      <c r="C29" s="7" t="s">
        <v>12</v>
      </c>
      <c r="D29" s="6"/>
      <c r="E29" s="6"/>
      <c r="H29" s="5" t="s">
        <v>31</v>
      </c>
      <c r="I29" s="6"/>
      <c r="J29" s="7" t="s">
        <v>12</v>
      </c>
      <c r="K29" s="6"/>
      <c r="L29" s="6"/>
      <c r="O29" s="5" t="s">
        <v>31</v>
      </c>
      <c r="P29" s="6"/>
      <c r="Q29" s="7" t="s">
        <v>12</v>
      </c>
      <c r="R29" s="6"/>
      <c r="S29" s="6"/>
    </row>
    <row r="30" spans="1:19" x14ac:dyDescent="0.25">
      <c r="A30" s="8" t="s">
        <v>32</v>
      </c>
      <c r="B30" s="9">
        <v>-1</v>
      </c>
      <c r="C30" s="7" t="s">
        <v>12</v>
      </c>
      <c r="D30" s="9">
        <v>652.5</v>
      </c>
      <c r="E30" s="9">
        <f t="shared" ref="E30:E38" si="0">B30*D30</f>
        <v>-652.5</v>
      </c>
      <c r="H30" s="8" t="s">
        <v>32</v>
      </c>
      <c r="I30" s="9">
        <v>-1</v>
      </c>
      <c r="J30" s="7" t="s">
        <v>12</v>
      </c>
      <c r="K30" s="9">
        <v>652.5</v>
      </c>
      <c r="L30" s="9">
        <f t="shared" ref="L30:L38" si="1">I30*K30</f>
        <v>-652.5</v>
      </c>
      <c r="O30" s="8" t="s">
        <v>32</v>
      </c>
      <c r="P30" s="9">
        <v>-1</v>
      </c>
      <c r="Q30" s="7" t="s">
        <v>12</v>
      </c>
      <c r="R30" s="9">
        <v>725</v>
      </c>
      <c r="S30" s="9">
        <f t="shared" ref="S30:S38" si="2">P30*R30</f>
        <v>-725</v>
      </c>
    </row>
    <row r="31" spans="1:19" x14ac:dyDescent="0.25">
      <c r="A31" s="8" t="s">
        <v>33</v>
      </c>
      <c r="B31" s="9">
        <v>-2</v>
      </c>
      <c r="C31" s="7" t="s">
        <v>12</v>
      </c>
      <c r="D31" s="9">
        <v>142.5</v>
      </c>
      <c r="E31" s="9">
        <f t="shared" si="0"/>
        <v>-285</v>
      </c>
      <c r="H31" s="8" t="s">
        <v>33</v>
      </c>
      <c r="I31" s="9">
        <v>-2</v>
      </c>
      <c r="J31" s="7" t="s">
        <v>12</v>
      </c>
      <c r="K31" s="9">
        <v>142.5</v>
      </c>
      <c r="L31" s="9">
        <f t="shared" si="1"/>
        <v>-285</v>
      </c>
      <c r="O31" s="8" t="s">
        <v>33</v>
      </c>
      <c r="P31" s="9">
        <v>-3</v>
      </c>
      <c r="Q31" s="7" t="s">
        <v>12</v>
      </c>
      <c r="R31" s="9">
        <v>150</v>
      </c>
      <c r="S31" s="9">
        <f t="shared" si="2"/>
        <v>-450</v>
      </c>
    </row>
    <row r="32" spans="1:19" x14ac:dyDescent="0.25">
      <c r="A32" s="8" t="s">
        <v>34</v>
      </c>
      <c r="B32" s="9">
        <v>-1</v>
      </c>
      <c r="C32" s="7" t="s">
        <v>12</v>
      </c>
      <c r="D32" s="9">
        <v>380</v>
      </c>
      <c r="E32" s="9">
        <f t="shared" si="0"/>
        <v>-380</v>
      </c>
      <c r="H32" s="8" t="s">
        <v>34</v>
      </c>
      <c r="I32" s="9">
        <v>-1</v>
      </c>
      <c r="J32" s="7" t="s">
        <v>12</v>
      </c>
      <c r="K32" s="9">
        <v>380</v>
      </c>
      <c r="L32" s="9">
        <f t="shared" si="1"/>
        <v>-380</v>
      </c>
      <c r="O32" s="8" t="s">
        <v>34</v>
      </c>
      <c r="P32" s="9">
        <v>-1</v>
      </c>
      <c r="Q32" s="7" t="s">
        <v>12</v>
      </c>
      <c r="R32" s="9">
        <v>400</v>
      </c>
      <c r="S32" s="9">
        <f t="shared" si="2"/>
        <v>-400</v>
      </c>
    </row>
    <row r="33" spans="1:19" x14ac:dyDescent="0.25">
      <c r="A33" s="8" t="s">
        <v>35</v>
      </c>
      <c r="B33" s="9">
        <v>-4</v>
      </c>
      <c r="C33" s="7" t="s">
        <v>12</v>
      </c>
      <c r="D33" s="9">
        <v>180</v>
      </c>
      <c r="E33" s="9">
        <f t="shared" si="0"/>
        <v>-720</v>
      </c>
      <c r="H33" s="8" t="s">
        <v>35</v>
      </c>
      <c r="I33" s="9">
        <v>-4</v>
      </c>
      <c r="J33" s="7" t="s">
        <v>12</v>
      </c>
      <c r="K33" s="9">
        <v>180</v>
      </c>
      <c r="L33" s="9">
        <f t="shared" si="1"/>
        <v>-720</v>
      </c>
      <c r="O33" s="8" t="s">
        <v>35</v>
      </c>
      <c r="P33" s="9">
        <v>-4</v>
      </c>
      <c r="Q33" s="7" t="s">
        <v>12</v>
      </c>
      <c r="R33" s="9">
        <v>180</v>
      </c>
      <c r="S33" s="9">
        <f t="shared" si="2"/>
        <v>-720</v>
      </c>
    </row>
    <row r="34" spans="1:19" x14ac:dyDescent="0.25">
      <c r="A34" s="8" t="s">
        <v>36</v>
      </c>
      <c r="B34" s="9">
        <v>-1</v>
      </c>
      <c r="C34" s="7" t="s">
        <v>12</v>
      </c>
      <c r="D34" s="9">
        <v>878</v>
      </c>
      <c r="E34" s="9">
        <f t="shared" si="0"/>
        <v>-878</v>
      </c>
      <c r="H34" s="8" t="s">
        <v>36</v>
      </c>
      <c r="I34" s="9">
        <v>-1</v>
      </c>
      <c r="J34" s="7" t="s">
        <v>12</v>
      </c>
      <c r="K34" s="9">
        <v>992</v>
      </c>
      <c r="L34" s="9">
        <f t="shared" si="1"/>
        <v>-992</v>
      </c>
      <c r="O34" s="8" t="s">
        <v>36</v>
      </c>
      <c r="P34" s="9">
        <v>-1</v>
      </c>
      <c r="Q34" s="7" t="s">
        <v>12</v>
      </c>
      <c r="R34" s="9">
        <v>1077</v>
      </c>
      <c r="S34" s="9">
        <f t="shared" si="2"/>
        <v>-1077</v>
      </c>
    </row>
    <row r="35" spans="1:19" x14ac:dyDescent="0.25">
      <c r="A35" s="8" t="s">
        <v>37</v>
      </c>
      <c r="B35" s="9">
        <v>-1</v>
      </c>
      <c r="C35" s="7" t="s">
        <v>12</v>
      </c>
      <c r="D35" s="9">
        <v>413</v>
      </c>
      <c r="E35" s="9">
        <f t="shared" si="0"/>
        <v>-413</v>
      </c>
      <c r="H35" s="8" t="s">
        <v>37</v>
      </c>
      <c r="I35" s="9">
        <v>-1</v>
      </c>
      <c r="J35" s="7" t="s">
        <v>12</v>
      </c>
      <c r="K35" s="9">
        <v>467</v>
      </c>
      <c r="L35" s="9">
        <f t="shared" si="1"/>
        <v>-467</v>
      </c>
      <c r="O35" s="8" t="s">
        <v>37</v>
      </c>
      <c r="P35" s="9">
        <v>-1</v>
      </c>
      <c r="Q35" s="7" t="s">
        <v>12</v>
      </c>
      <c r="R35" s="9">
        <v>507</v>
      </c>
      <c r="S35" s="9">
        <f t="shared" si="2"/>
        <v>-507</v>
      </c>
    </row>
    <row r="36" spans="1:19" x14ac:dyDescent="0.25">
      <c r="A36" s="8" t="s">
        <v>38</v>
      </c>
      <c r="B36" s="9">
        <v>-6400</v>
      </c>
      <c r="C36" s="7" t="s">
        <v>12</v>
      </c>
      <c r="D36" s="11">
        <v>0.09</v>
      </c>
      <c r="E36" s="9">
        <f t="shared" si="0"/>
        <v>-576</v>
      </c>
      <c r="H36" s="8" t="s">
        <v>38</v>
      </c>
      <c r="I36" s="9">
        <v>-7900</v>
      </c>
      <c r="J36" s="7" t="s">
        <v>12</v>
      </c>
      <c r="K36" s="11">
        <v>0.09</v>
      </c>
      <c r="L36" s="9">
        <f t="shared" si="1"/>
        <v>-711</v>
      </c>
      <c r="O36" s="8" t="s">
        <v>38</v>
      </c>
      <c r="P36" s="9">
        <v>-9100</v>
      </c>
      <c r="Q36" s="7" t="s">
        <v>12</v>
      </c>
      <c r="R36" s="11">
        <v>0.09</v>
      </c>
      <c r="S36" s="9">
        <f t="shared" si="2"/>
        <v>-819</v>
      </c>
    </row>
    <row r="37" spans="1:19" x14ac:dyDescent="0.25">
      <c r="A37" s="8" t="s">
        <v>39</v>
      </c>
      <c r="B37" s="12">
        <v>-8.4</v>
      </c>
      <c r="C37" s="7" t="s">
        <v>12</v>
      </c>
      <c r="D37" s="9">
        <v>85</v>
      </c>
      <c r="E37" s="9">
        <f t="shared" si="0"/>
        <v>-714</v>
      </c>
      <c r="H37" s="8" t="s">
        <v>39</v>
      </c>
      <c r="I37" s="12">
        <v>-10.8</v>
      </c>
      <c r="J37" s="7" t="s">
        <v>12</v>
      </c>
      <c r="K37" s="9">
        <v>85</v>
      </c>
      <c r="L37" s="9">
        <f t="shared" si="1"/>
        <v>-918.00000000000011</v>
      </c>
      <c r="O37" s="8" t="s">
        <v>39</v>
      </c>
      <c r="P37" s="12">
        <v>-12.4</v>
      </c>
      <c r="Q37" s="7" t="s">
        <v>12</v>
      </c>
      <c r="R37" s="9">
        <v>85</v>
      </c>
      <c r="S37" s="9">
        <f t="shared" si="2"/>
        <v>-1054</v>
      </c>
    </row>
    <row r="38" spans="1:19" x14ac:dyDescent="0.25">
      <c r="A38" s="8" t="s">
        <v>40</v>
      </c>
      <c r="B38" s="9">
        <v>-1</v>
      </c>
      <c r="C38" s="7" t="s">
        <v>12</v>
      </c>
      <c r="D38" s="9">
        <v>270</v>
      </c>
      <c r="E38" s="9">
        <f t="shared" si="0"/>
        <v>-270</v>
      </c>
      <c r="H38" s="8" t="s">
        <v>40</v>
      </c>
      <c r="I38" s="9">
        <v>-1</v>
      </c>
      <c r="J38" s="7" t="s">
        <v>12</v>
      </c>
      <c r="K38" s="9">
        <v>315</v>
      </c>
      <c r="L38" s="9">
        <f t="shared" si="1"/>
        <v>-315</v>
      </c>
      <c r="O38" s="8" t="s">
        <v>40</v>
      </c>
      <c r="P38" s="9">
        <v>-1</v>
      </c>
      <c r="Q38" s="7" t="s">
        <v>12</v>
      </c>
      <c r="R38" s="9">
        <v>345</v>
      </c>
      <c r="S38" s="9">
        <f t="shared" si="2"/>
        <v>-345</v>
      </c>
    </row>
    <row r="39" spans="1:19" x14ac:dyDescent="0.25">
      <c r="A39" s="8" t="s">
        <v>41</v>
      </c>
      <c r="B39" s="9"/>
      <c r="C39" s="7" t="s">
        <v>12</v>
      </c>
      <c r="D39" s="9"/>
      <c r="E39" s="9">
        <v>-500</v>
      </c>
      <c r="H39" s="8" t="s">
        <v>53</v>
      </c>
      <c r="I39" s="9">
        <v>-1</v>
      </c>
      <c r="J39" s="7" t="s">
        <v>12</v>
      </c>
      <c r="K39" s="9">
        <v>1225</v>
      </c>
      <c r="L39" s="38"/>
      <c r="O39" s="8" t="s">
        <v>41</v>
      </c>
      <c r="P39" s="9"/>
      <c r="Q39" s="7" t="s">
        <v>12</v>
      </c>
      <c r="R39" s="9"/>
      <c r="S39" s="9">
        <v>-500</v>
      </c>
    </row>
    <row r="40" spans="1:19" x14ac:dyDescent="0.25">
      <c r="A40" s="5" t="s">
        <v>42</v>
      </c>
      <c r="B40" s="6"/>
      <c r="C40" s="7" t="s">
        <v>12</v>
      </c>
      <c r="D40" s="6"/>
      <c r="E40" s="6">
        <f>SUM(E30:E39)</f>
        <v>-5388.5</v>
      </c>
      <c r="H40" s="8" t="s">
        <v>54</v>
      </c>
      <c r="I40" s="9">
        <v>-3</v>
      </c>
      <c r="J40" s="7" t="s">
        <v>12</v>
      </c>
      <c r="K40" s="9">
        <v>125</v>
      </c>
      <c r="L40" s="38"/>
      <c r="O40" s="5" t="s">
        <v>42</v>
      </c>
      <c r="P40" s="6"/>
      <c r="Q40" s="7" t="s">
        <v>12</v>
      </c>
      <c r="R40" s="6"/>
      <c r="S40" s="6">
        <f>SUM(S30:S39)</f>
        <v>-6597</v>
      </c>
    </row>
    <row r="41" spans="1:19" x14ac:dyDescent="0.25">
      <c r="A41" s="8" t="s">
        <v>43</v>
      </c>
      <c r="B41" s="9"/>
      <c r="C41" s="7" t="s">
        <v>12</v>
      </c>
      <c r="D41" s="9"/>
      <c r="E41" s="9">
        <f>SUM(E27,E40)</f>
        <v>410</v>
      </c>
      <c r="H41" s="8" t="s">
        <v>55</v>
      </c>
      <c r="I41" s="9">
        <v>-105</v>
      </c>
      <c r="J41" s="7" t="s">
        <v>12</v>
      </c>
      <c r="K41" s="9">
        <v>5</v>
      </c>
      <c r="L41" s="38"/>
      <c r="O41" s="8" t="s">
        <v>43</v>
      </c>
      <c r="P41" s="9"/>
      <c r="Q41" s="7" t="s">
        <v>12</v>
      </c>
      <c r="R41" s="9"/>
      <c r="S41" s="9">
        <f>SUM(S27,S40)</f>
        <v>4474.5</v>
      </c>
    </row>
    <row r="42" spans="1:19" x14ac:dyDescent="0.25">
      <c r="H42" s="8" t="s">
        <v>41</v>
      </c>
      <c r="I42" s="9"/>
      <c r="J42" s="7" t="s">
        <v>12</v>
      </c>
      <c r="K42" s="9"/>
      <c r="L42" s="9">
        <v>-500</v>
      </c>
    </row>
    <row r="43" spans="1:19" x14ac:dyDescent="0.25">
      <c r="H43" s="5" t="s">
        <v>42</v>
      </c>
      <c r="I43" s="6"/>
      <c r="J43" s="7" t="s">
        <v>12</v>
      </c>
      <c r="K43" s="6"/>
      <c r="L43" s="6">
        <f>SUM(L30:L42)</f>
        <v>-5940.5</v>
      </c>
    </row>
    <row r="44" spans="1:19" x14ac:dyDescent="0.25">
      <c r="H44" s="8" t="s">
        <v>43</v>
      </c>
      <c r="I44" s="9"/>
      <c r="J44" s="7" t="s">
        <v>12</v>
      </c>
      <c r="K44" s="9"/>
      <c r="L44" s="9">
        <f>SUM(L27,L43)</f>
        <v>3040</v>
      </c>
    </row>
    <row r="45" spans="1:19" x14ac:dyDescent="0.25">
      <c r="A45" s="2" t="s">
        <v>44</v>
      </c>
      <c r="O45" s="2" t="s">
        <v>44</v>
      </c>
    </row>
    <row r="47" spans="1:19" x14ac:dyDescent="0.25">
      <c r="A47" s="2" t="s">
        <v>45</v>
      </c>
      <c r="O47" s="2" t="s">
        <v>45</v>
      </c>
    </row>
    <row r="48" spans="1:19" x14ac:dyDescent="0.25">
      <c r="A48" s="2" t="s">
        <v>46</v>
      </c>
      <c r="H48" s="2" t="s">
        <v>44</v>
      </c>
      <c r="O48" s="2" t="s">
        <v>46</v>
      </c>
    </row>
    <row r="50" spans="1:15" x14ac:dyDescent="0.25">
      <c r="A50" s="2" t="s">
        <v>47</v>
      </c>
      <c r="H50" s="2" t="s">
        <v>45</v>
      </c>
      <c r="O50" s="2" t="s">
        <v>47</v>
      </c>
    </row>
    <row r="51" spans="1:15" x14ac:dyDescent="0.25">
      <c r="A51" s="2" t="s">
        <v>48</v>
      </c>
      <c r="H51" s="2" t="s">
        <v>46</v>
      </c>
      <c r="O51" s="2" t="s">
        <v>48</v>
      </c>
    </row>
    <row r="53" spans="1:15" x14ac:dyDescent="0.25">
      <c r="H53" s="2" t="s">
        <v>47</v>
      </c>
    </row>
    <row r="54" spans="1:15" x14ac:dyDescent="0.25">
      <c r="H54" s="2" t="s">
        <v>48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3"/>
  <sheetViews>
    <sheetView topLeftCell="H1" workbookViewId="0">
      <selection activeCell="I13" sqref="I13"/>
    </sheetView>
  </sheetViews>
  <sheetFormatPr defaultRowHeight="15" x14ac:dyDescent="0.25"/>
  <cols>
    <col min="1" max="1" width="29.28515625" style="1" hidden="1" customWidth="1"/>
    <col min="2" max="5" width="8.28515625" style="1" hidden="1" customWidth="1"/>
    <col min="6" max="7" width="4.42578125" style="1" hidden="1" customWidth="1"/>
    <col min="8" max="8" width="26.140625" style="1" customWidth="1"/>
    <col min="9" max="12" width="8.28515625" style="1" customWidth="1"/>
    <col min="13" max="14" width="4.28515625" style="1" customWidth="1"/>
    <col min="15" max="15" width="26" style="1" customWidth="1"/>
    <col min="16" max="20" width="8.28515625" style="1" customWidth="1"/>
    <col min="21" max="16384" width="9.140625" style="1"/>
  </cols>
  <sheetData>
    <row r="1" spans="1:19" ht="18.75" x14ac:dyDescent="0.3">
      <c r="H1" s="37" t="s">
        <v>61</v>
      </c>
    </row>
    <row r="3" spans="1:19" x14ac:dyDescent="0.25">
      <c r="A3" s="1" t="s">
        <v>56</v>
      </c>
      <c r="H3" s="1" t="s">
        <v>56</v>
      </c>
      <c r="O3" s="1" t="s">
        <v>56</v>
      </c>
    </row>
    <row r="4" spans="1:19" x14ac:dyDescent="0.25">
      <c r="A4" s="2" t="s">
        <v>1</v>
      </c>
      <c r="B4" s="2" t="s">
        <v>56</v>
      </c>
      <c r="H4" s="2" t="s">
        <v>1</v>
      </c>
      <c r="I4" s="2" t="s">
        <v>56</v>
      </c>
      <c r="O4" s="2" t="s">
        <v>1</v>
      </c>
      <c r="P4" s="2" t="s">
        <v>56</v>
      </c>
    </row>
    <row r="5" spans="1:19" x14ac:dyDescent="0.25">
      <c r="A5" s="2" t="s">
        <v>2</v>
      </c>
      <c r="B5" s="2" t="s">
        <v>3</v>
      </c>
      <c r="H5" s="2" t="s">
        <v>2</v>
      </c>
      <c r="I5" s="2" t="s">
        <v>3</v>
      </c>
      <c r="O5" s="2" t="s">
        <v>2</v>
      </c>
      <c r="P5" s="2" t="s">
        <v>3</v>
      </c>
    </row>
    <row r="6" spans="1:19" x14ac:dyDescent="0.25">
      <c r="A6" s="2" t="s">
        <v>4</v>
      </c>
      <c r="B6" s="2" t="s">
        <v>5</v>
      </c>
      <c r="H6" s="2" t="s">
        <v>4</v>
      </c>
      <c r="I6" s="2" t="s">
        <v>5</v>
      </c>
      <c r="O6" s="2" t="s">
        <v>4</v>
      </c>
      <c r="P6" s="2" t="s">
        <v>5</v>
      </c>
    </row>
    <row r="7" spans="1:19" x14ac:dyDescent="0.25">
      <c r="A7" s="2" t="s">
        <v>6</v>
      </c>
      <c r="B7" s="2" t="s">
        <v>49</v>
      </c>
      <c r="H7" s="2" t="s">
        <v>6</v>
      </c>
      <c r="I7" s="2" t="s">
        <v>113</v>
      </c>
      <c r="O7" s="2" t="s">
        <v>6</v>
      </c>
      <c r="P7" s="2" t="s">
        <v>7</v>
      </c>
    </row>
    <row r="8" spans="1:19" x14ac:dyDescent="0.25">
      <c r="A8" s="2" t="s">
        <v>8</v>
      </c>
      <c r="B8" s="2" t="s">
        <v>9</v>
      </c>
      <c r="H8" s="2" t="s">
        <v>8</v>
      </c>
      <c r="I8" s="2" t="s">
        <v>9</v>
      </c>
      <c r="O8" s="2" t="s">
        <v>8</v>
      </c>
      <c r="P8" s="2" t="s">
        <v>9</v>
      </c>
    </row>
    <row r="10" spans="1:19" x14ac:dyDescent="0.25">
      <c r="A10" s="3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H10" s="3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O10" s="3" t="s">
        <v>10</v>
      </c>
      <c r="P10" s="4" t="s">
        <v>11</v>
      </c>
      <c r="Q10" s="4" t="s">
        <v>12</v>
      </c>
      <c r="R10" s="4" t="s">
        <v>13</v>
      </c>
      <c r="S10" s="4" t="s">
        <v>14</v>
      </c>
    </row>
    <row r="11" spans="1:19" x14ac:dyDescent="0.25">
      <c r="A11" s="5" t="s">
        <v>15</v>
      </c>
      <c r="B11" s="6"/>
      <c r="C11" s="7" t="s">
        <v>12</v>
      </c>
      <c r="D11" s="6"/>
      <c r="E11" s="6"/>
      <c r="H11" s="5" t="s">
        <v>15</v>
      </c>
      <c r="I11" s="6"/>
      <c r="J11" s="7" t="s">
        <v>12</v>
      </c>
      <c r="K11" s="6"/>
      <c r="L11" s="6"/>
      <c r="O11" s="5" t="s">
        <v>15</v>
      </c>
      <c r="P11" s="6"/>
      <c r="Q11" s="7" t="s">
        <v>12</v>
      </c>
      <c r="R11" s="6"/>
      <c r="S11" s="6"/>
    </row>
    <row r="12" spans="1:19" x14ac:dyDescent="0.25">
      <c r="A12" s="8" t="s">
        <v>57</v>
      </c>
      <c r="B12" s="9">
        <v>4700</v>
      </c>
      <c r="C12" s="7" t="s">
        <v>17</v>
      </c>
      <c r="D12" s="10">
        <v>1.2</v>
      </c>
      <c r="E12" s="9">
        <f>B12*D12</f>
        <v>5640</v>
      </c>
      <c r="H12" s="8" t="s">
        <v>57</v>
      </c>
      <c r="I12" s="9">
        <v>5300</v>
      </c>
      <c r="J12" s="7" t="s">
        <v>17</v>
      </c>
      <c r="K12" s="10">
        <v>1.1499999999999999</v>
      </c>
      <c r="L12" s="9">
        <f>I12*K12</f>
        <v>6094.9999999999991</v>
      </c>
      <c r="O12" s="8" t="s">
        <v>57</v>
      </c>
      <c r="P12" s="9">
        <v>6700</v>
      </c>
      <c r="Q12" s="7" t="s">
        <v>17</v>
      </c>
      <c r="R12" s="10">
        <v>1.1499999999999999</v>
      </c>
      <c r="S12" s="9">
        <f>P12*R12</f>
        <v>7704.9999999999991</v>
      </c>
    </row>
    <row r="13" spans="1:19" x14ac:dyDescent="0.25">
      <c r="A13" s="8" t="s">
        <v>18</v>
      </c>
      <c r="B13" s="9">
        <v>2400</v>
      </c>
      <c r="C13" s="7" t="s">
        <v>17</v>
      </c>
      <c r="D13" s="10">
        <v>0.5</v>
      </c>
      <c r="E13" s="9">
        <f>B13*D13</f>
        <v>1200</v>
      </c>
      <c r="H13" s="8" t="s">
        <v>18</v>
      </c>
      <c r="I13" s="9">
        <v>3100</v>
      </c>
      <c r="J13" s="7" t="s">
        <v>17</v>
      </c>
      <c r="K13" s="10">
        <v>0.5</v>
      </c>
      <c r="L13" s="9">
        <f>I13*K13</f>
        <v>1550</v>
      </c>
      <c r="O13" s="8" t="s">
        <v>18</v>
      </c>
      <c r="P13" s="9">
        <v>3500</v>
      </c>
      <c r="Q13" s="7" t="s">
        <v>17</v>
      </c>
      <c r="R13" s="10">
        <v>0.5</v>
      </c>
      <c r="S13" s="9">
        <f>P13*R13</f>
        <v>1750</v>
      </c>
    </row>
    <row r="14" spans="1:19" x14ac:dyDescent="0.25">
      <c r="A14" s="5" t="s">
        <v>50</v>
      </c>
      <c r="B14" s="6"/>
      <c r="C14" s="7" t="s">
        <v>12</v>
      </c>
      <c r="D14" s="6"/>
      <c r="E14" s="6">
        <f>SUM(E12:E13)</f>
        <v>6840</v>
      </c>
      <c r="H14" s="5" t="s">
        <v>50</v>
      </c>
      <c r="I14" s="6"/>
      <c r="J14" s="7" t="s">
        <v>12</v>
      </c>
      <c r="K14" s="6"/>
      <c r="L14" s="6">
        <f>SUM(L12:L13)</f>
        <v>7644.9999999999991</v>
      </c>
      <c r="O14" s="5" t="s">
        <v>50</v>
      </c>
      <c r="P14" s="6"/>
      <c r="Q14" s="7" t="s">
        <v>12</v>
      </c>
      <c r="R14" s="6"/>
      <c r="S14" s="6">
        <f>SUM(S12:S13)</f>
        <v>9455</v>
      </c>
    </row>
    <row r="15" spans="1:19" x14ac:dyDescent="0.25">
      <c r="A15" s="8" t="s">
        <v>12</v>
      </c>
      <c r="B15" s="9"/>
      <c r="C15" s="7" t="s">
        <v>12</v>
      </c>
      <c r="D15" s="9"/>
      <c r="E15" s="9"/>
      <c r="H15" s="8" t="s">
        <v>12</v>
      </c>
      <c r="I15" s="9"/>
      <c r="J15" s="7" t="s">
        <v>12</v>
      </c>
      <c r="K15" s="9"/>
      <c r="L15" s="9"/>
      <c r="O15" s="8" t="s">
        <v>12</v>
      </c>
      <c r="P15" s="9"/>
      <c r="Q15" s="7" t="s">
        <v>12</v>
      </c>
      <c r="R15" s="9"/>
      <c r="S15" s="9"/>
    </row>
    <row r="16" spans="1:19" x14ac:dyDescent="0.25">
      <c r="A16" s="5" t="s">
        <v>20</v>
      </c>
      <c r="B16" s="6"/>
      <c r="C16" s="7" t="s">
        <v>12</v>
      </c>
      <c r="D16" s="6"/>
      <c r="E16" s="6"/>
      <c r="H16" s="5" t="s">
        <v>20</v>
      </c>
      <c r="I16" s="6"/>
      <c r="J16" s="7" t="s">
        <v>12</v>
      </c>
      <c r="K16" s="6"/>
      <c r="L16" s="6"/>
      <c r="O16" s="5" t="s">
        <v>20</v>
      </c>
      <c r="P16" s="6"/>
      <c r="Q16" s="7" t="s">
        <v>12</v>
      </c>
      <c r="R16" s="6"/>
      <c r="S16" s="6"/>
    </row>
    <row r="17" spans="1:19" x14ac:dyDescent="0.25">
      <c r="A17" s="8" t="s">
        <v>21</v>
      </c>
      <c r="B17" s="9">
        <v>-140</v>
      </c>
      <c r="C17" s="7" t="s">
        <v>17</v>
      </c>
      <c r="D17" s="10">
        <v>3.1</v>
      </c>
      <c r="E17" s="9">
        <f>B17*D17</f>
        <v>-434</v>
      </c>
      <c r="H17" s="8" t="s">
        <v>21</v>
      </c>
      <c r="I17" s="9">
        <v>-140</v>
      </c>
      <c r="J17" s="7" t="s">
        <v>17</v>
      </c>
      <c r="K17" s="10">
        <v>3.1</v>
      </c>
      <c r="L17" s="9">
        <f>I17*K17</f>
        <v>-434</v>
      </c>
      <c r="O17" s="8" t="s">
        <v>21</v>
      </c>
      <c r="P17" s="9">
        <v>-140</v>
      </c>
      <c r="Q17" s="7" t="s">
        <v>17</v>
      </c>
      <c r="R17" s="10">
        <v>3.1</v>
      </c>
      <c r="S17" s="9">
        <f>P17*R17</f>
        <v>-434</v>
      </c>
    </row>
    <row r="18" spans="1:19" x14ac:dyDescent="0.25">
      <c r="A18" s="8" t="s">
        <v>22</v>
      </c>
      <c r="B18" s="9">
        <v>-121</v>
      </c>
      <c r="C18" s="7" t="s">
        <v>17</v>
      </c>
      <c r="D18" s="10">
        <v>5.5</v>
      </c>
      <c r="E18" s="9">
        <f>B18*D18</f>
        <v>-665.5</v>
      </c>
      <c r="H18" s="8" t="s">
        <v>22</v>
      </c>
      <c r="I18" s="9">
        <v>-129</v>
      </c>
      <c r="J18" s="7" t="s">
        <v>17</v>
      </c>
      <c r="K18" s="10">
        <v>5.5</v>
      </c>
      <c r="L18" s="9">
        <f>I18*K18</f>
        <v>-709.5</v>
      </c>
      <c r="O18" s="8" t="s">
        <v>22</v>
      </c>
      <c r="P18" s="9">
        <v>-124</v>
      </c>
      <c r="Q18" s="7" t="s">
        <v>17</v>
      </c>
      <c r="R18" s="10">
        <v>5.5</v>
      </c>
      <c r="S18" s="9">
        <f>P18*R18</f>
        <v>-682</v>
      </c>
    </row>
    <row r="19" spans="1:19" x14ac:dyDescent="0.25">
      <c r="A19" s="8" t="s">
        <v>23</v>
      </c>
      <c r="B19" s="9">
        <v>-17</v>
      </c>
      <c r="C19" s="7" t="s">
        <v>17</v>
      </c>
      <c r="D19" s="10">
        <v>9</v>
      </c>
      <c r="E19" s="9">
        <f>B19*D19</f>
        <v>-153</v>
      </c>
      <c r="H19" s="8" t="s">
        <v>23</v>
      </c>
      <c r="I19" s="9">
        <v>-22</v>
      </c>
      <c r="J19" s="7" t="s">
        <v>17</v>
      </c>
      <c r="K19" s="10">
        <v>9</v>
      </c>
      <c r="L19" s="9">
        <f>I19*K19</f>
        <v>-198</v>
      </c>
      <c r="O19" s="8" t="s">
        <v>23</v>
      </c>
      <c r="P19" s="9">
        <v>-24</v>
      </c>
      <c r="Q19" s="7" t="s">
        <v>17</v>
      </c>
      <c r="R19" s="10">
        <v>9</v>
      </c>
      <c r="S19" s="9">
        <f>P19*R19</f>
        <v>-216</v>
      </c>
    </row>
    <row r="20" spans="1:19" x14ac:dyDescent="0.25">
      <c r="A20" s="8" t="s">
        <v>24</v>
      </c>
      <c r="B20" s="9">
        <v>-60</v>
      </c>
      <c r="C20" s="7" t="s">
        <v>17</v>
      </c>
      <c r="D20" s="10">
        <v>6</v>
      </c>
      <c r="E20" s="9">
        <f>B20*D20</f>
        <v>-360</v>
      </c>
      <c r="H20" s="8" t="s">
        <v>24</v>
      </c>
      <c r="I20" s="9">
        <v>-73</v>
      </c>
      <c r="J20" s="7" t="s">
        <v>17</v>
      </c>
      <c r="K20" s="10">
        <v>6</v>
      </c>
      <c r="L20" s="9">
        <f>I20*K20</f>
        <v>-438</v>
      </c>
      <c r="O20" s="8" t="s">
        <v>24</v>
      </c>
      <c r="P20" s="9">
        <v>-60</v>
      </c>
      <c r="Q20" s="7" t="s">
        <v>17</v>
      </c>
      <c r="R20" s="10">
        <v>6</v>
      </c>
      <c r="S20" s="9">
        <f>P20*R20</f>
        <v>-360</v>
      </c>
    </row>
    <row r="21" spans="1:19" x14ac:dyDescent="0.25">
      <c r="A21" s="8" t="s">
        <v>25</v>
      </c>
      <c r="B21" s="9"/>
      <c r="C21" s="7" t="s">
        <v>26</v>
      </c>
      <c r="D21" s="9"/>
      <c r="E21" s="9">
        <v>-110</v>
      </c>
      <c r="H21" s="8" t="s">
        <v>25</v>
      </c>
      <c r="I21" s="9"/>
      <c r="J21" s="7" t="s">
        <v>26</v>
      </c>
      <c r="K21" s="9"/>
      <c r="L21" s="9">
        <v>-110</v>
      </c>
      <c r="O21" s="8" t="s">
        <v>25</v>
      </c>
      <c r="P21" s="9"/>
      <c r="Q21" s="7" t="s">
        <v>26</v>
      </c>
      <c r="R21" s="9"/>
      <c r="S21" s="9">
        <v>-110</v>
      </c>
    </row>
    <row r="22" spans="1:19" x14ac:dyDescent="0.25">
      <c r="A22" s="8" t="s">
        <v>27</v>
      </c>
      <c r="B22" s="9"/>
      <c r="C22" s="7" t="s">
        <v>26</v>
      </c>
      <c r="D22" s="9"/>
      <c r="E22" s="9">
        <v>-165</v>
      </c>
      <c r="H22" s="8" t="s">
        <v>27</v>
      </c>
      <c r="I22" s="9"/>
      <c r="J22" s="7" t="s">
        <v>26</v>
      </c>
      <c r="K22" s="9"/>
      <c r="L22" s="9">
        <v>-165</v>
      </c>
      <c r="O22" s="8" t="s">
        <v>27</v>
      </c>
      <c r="P22" s="9"/>
      <c r="Q22" s="7" t="s">
        <v>26</v>
      </c>
      <c r="R22" s="9"/>
      <c r="S22" s="9">
        <v>-165</v>
      </c>
    </row>
    <row r="23" spans="1:19" x14ac:dyDescent="0.25">
      <c r="A23" s="8" t="s">
        <v>28</v>
      </c>
      <c r="B23" s="9"/>
      <c r="C23" s="7" t="s">
        <v>26</v>
      </c>
      <c r="D23" s="9"/>
      <c r="E23" s="9">
        <v>-50</v>
      </c>
      <c r="H23" s="8" t="s">
        <v>28</v>
      </c>
      <c r="I23" s="9"/>
      <c r="J23" s="7" t="s">
        <v>26</v>
      </c>
      <c r="K23" s="9"/>
      <c r="L23" s="9">
        <v>-50</v>
      </c>
      <c r="O23" s="8" t="s">
        <v>28</v>
      </c>
      <c r="P23" s="9"/>
      <c r="Q23" s="7" t="s">
        <v>26</v>
      </c>
      <c r="R23" s="9"/>
      <c r="S23" s="9">
        <v>-50</v>
      </c>
    </row>
    <row r="24" spans="1:19" x14ac:dyDescent="0.25">
      <c r="A24" s="8" t="s">
        <v>51</v>
      </c>
      <c r="B24" s="9"/>
      <c r="C24" s="7" t="s">
        <v>26</v>
      </c>
      <c r="D24" s="9"/>
      <c r="E24" s="9">
        <v>-40</v>
      </c>
      <c r="H24" s="8" t="s">
        <v>51</v>
      </c>
      <c r="I24" s="9"/>
      <c r="J24" s="7" t="s">
        <v>26</v>
      </c>
      <c r="K24" s="9"/>
      <c r="L24" s="38"/>
      <c r="O24" s="8" t="s">
        <v>51</v>
      </c>
      <c r="P24" s="9"/>
      <c r="Q24" s="7" t="s">
        <v>26</v>
      </c>
      <c r="R24" s="9"/>
      <c r="S24" s="38"/>
    </row>
    <row r="25" spans="1:19" x14ac:dyDescent="0.25">
      <c r="A25" s="5" t="s">
        <v>29</v>
      </c>
      <c r="B25" s="6"/>
      <c r="C25" s="7" t="s">
        <v>12</v>
      </c>
      <c r="D25" s="6"/>
      <c r="E25" s="6">
        <f>SUM(E16:E24)</f>
        <v>-1977.5</v>
      </c>
      <c r="H25" s="5" t="s">
        <v>29</v>
      </c>
      <c r="I25" s="6"/>
      <c r="J25" s="7" t="s">
        <v>12</v>
      </c>
      <c r="K25" s="6"/>
      <c r="L25" s="6">
        <f>SUM(L16:L24)</f>
        <v>-2104.5</v>
      </c>
      <c r="O25" s="5" t="s">
        <v>29</v>
      </c>
      <c r="P25" s="6"/>
      <c r="Q25" s="7" t="s">
        <v>12</v>
      </c>
      <c r="R25" s="6"/>
      <c r="S25" s="6">
        <f>SUM(S16:S24)</f>
        <v>-2017</v>
      </c>
    </row>
    <row r="26" spans="1:19" x14ac:dyDescent="0.25">
      <c r="A26" s="5" t="s">
        <v>52</v>
      </c>
      <c r="B26" s="6"/>
      <c r="C26" s="7" t="s">
        <v>12</v>
      </c>
      <c r="D26" s="6"/>
      <c r="E26" s="6">
        <f>SUM(E14,E25)</f>
        <v>4862.5</v>
      </c>
      <c r="H26" s="5" t="s">
        <v>52</v>
      </c>
      <c r="I26" s="6"/>
      <c r="J26" s="7" t="s">
        <v>12</v>
      </c>
      <c r="K26" s="6"/>
      <c r="L26" s="6">
        <f>SUM(L14,L25)</f>
        <v>5540.4999999999991</v>
      </c>
      <c r="O26" s="5" t="s">
        <v>52</v>
      </c>
      <c r="P26" s="6"/>
      <c r="Q26" s="7" t="s">
        <v>12</v>
      </c>
      <c r="R26" s="6"/>
      <c r="S26" s="6">
        <f>SUM(S14,S25)</f>
        <v>7438</v>
      </c>
    </row>
    <row r="27" spans="1:19" x14ac:dyDescent="0.25">
      <c r="A27" s="8" t="s">
        <v>12</v>
      </c>
      <c r="B27" s="9"/>
      <c r="C27" s="7" t="s">
        <v>12</v>
      </c>
      <c r="D27" s="9"/>
      <c r="E27" s="9"/>
      <c r="H27" s="8" t="s">
        <v>12</v>
      </c>
      <c r="I27" s="9"/>
      <c r="J27" s="7" t="s">
        <v>12</v>
      </c>
      <c r="K27" s="9"/>
      <c r="L27" s="9"/>
      <c r="O27" s="8" t="s">
        <v>12</v>
      </c>
      <c r="P27" s="9"/>
      <c r="Q27" s="7" t="s">
        <v>12</v>
      </c>
      <c r="R27" s="9"/>
      <c r="S27" s="9"/>
    </row>
    <row r="28" spans="1:19" x14ac:dyDescent="0.25">
      <c r="A28" s="5" t="s">
        <v>31</v>
      </c>
      <c r="B28" s="6"/>
      <c r="C28" s="7" t="s">
        <v>12</v>
      </c>
      <c r="D28" s="6"/>
      <c r="E28" s="6"/>
      <c r="H28" s="5" t="s">
        <v>31</v>
      </c>
      <c r="I28" s="6"/>
      <c r="J28" s="7" t="s">
        <v>12</v>
      </c>
      <c r="K28" s="6"/>
      <c r="L28" s="6"/>
      <c r="O28" s="5" t="s">
        <v>31</v>
      </c>
      <c r="P28" s="6"/>
      <c r="Q28" s="7" t="s">
        <v>12</v>
      </c>
      <c r="R28" s="6"/>
      <c r="S28" s="6"/>
    </row>
    <row r="29" spans="1:19" x14ac:dyDescent="0.25">
      <c r="A29" s="8" t="s">
        <v>32</v>
      </c>
      <c r="B29" s="9">
        <v>-1</v>
      </c>
      <c r="C29" s="7" t="s">
        <v>12</v>
      </c>
      <c r="D29" s="9">
        <v>652.5</v>
      </c>
      <c r="E29" s="9">
        <f t="shared" ref="E29:E37" si="0">B29*D29</f>
        <v>-652.5</v>
      </c>
      <c r="H29" s="8" t="s">
        <v>32</v>
      </c>
      <c r="I29" s="9">
        <v>-1</v>
      </c>
      <c r="J29" s="7" t="s">
        <v>12</v>
      </c>
      <c r="K29" s="9">
        <v>652.5</v>
      </c>
      <c r="L29" s="9">
        <f t="shared" ref="L29:L37" si="1">I29*K29</f>
        <v>-652.5</v>
      </c>
      <c r="O29" s="8" t="s">
        <v>32</v>
      </c>
      <c r="P29" s="9">
        <v>-1</v>
      </c>
      <c r="Q29" s="7" t="s">
        <v>12</v>
      </c>
      <c r="R29" s="9">
        <v>725</v>
      </c>
      <c r="S29" s="9">
        <f t="shared" ref="S29:S37" si="2">P29*R29</f>
        <v>-725</v>
      </c>
    </row>
    <row r="30" spans="1:19" x14ac:dyDescent="0.25">
      <c r="A30" s="8" t="s">
        <v>33</v>
      </c>
      <c r="B30" s="9">
        <v>-1</v>
      </c>
      <c r="C30" s="7" t="s">
        <v>12</v>
      </c>
      <c r="D30" s="9">
        <v>142.5</v>
      </c>
      <c r="E30" s="9">
        <f t="shared" si="0"/>
        <v>-142.5</v>
      </c>
      <c r="H30" s="8" t="s">
        <v>33</v>
      </c>
      <c r="I30" s="9">
        <v>-1</v>
      </c>
      <c r="J30" s="7" t="s">
        <v>12</v>
      </c>
      <c r="K30" s="9">
        <v>142.5</v>
      </c>
      <c r="L30" s="9">
        <f t="shared" si="1"/>
        <v>-142.5</v>
      </c>
      <c r="O30" s="8" t="s">
        <v>33</v>
      </c>
      <c r="P30" s="9">
        <v>-1</v>
      </c>
      <c r="Q30" s="7" t="s">
        <v>12</v>
      </c>
      <c r="R30" s="9">
        <v>150</v>
      </c>
      <c r="S30" s="9">
        <f t="shared" si="2"/>
        <v>-150</v>
      </c>
    </row>
    <row r="31" spans="1:19" x14ac:dyDescent="0.25">
      <c r="A31" s="8" t="s">
        <v>34</v>
      </c>
      <c r="B31" s="9">
        <v>-1</v>
      </c>
      <c r="C31" s="7" t="s">
        <v>12</v>
      </c>
      <c r="D31" s="9">
        <v>380</v>
      </c>
      <c r="E31" s="9">
        <f t="shared" si="0"/>
        <v>-380</v>
      </c>
      <c r="H31" s="8" t="s">
        <v>34</v>
      </c>
      <c r="I31" s="9">
        <v>-1</v>
      </c>
      <c r="J31" s="7" t="s">
        <v>12</v>
      </c>
      <c r="K31" s="9">
        <v>380</v>
      </c>
      <c r="L31" s="9">
        <f t="shared" si="1"/>
        <v>-380</v>
      </c>
      <c r="O31" s="8" t="s">
        <v>34</v>
      </c>
      <c r="P31" s="9">
        <v>-1</v>
      </c>
      <c r="Q31" s="7" t="s">
        <v>12</v>
      </c>
      <c r="R31" s="9">
        <v>400</v>
      </c>
      <c r="S31" s="9">
        <f t="shared" si="2"/>
        <v>-400</v>
      </c>
    </row>
    <row r="32" spans="1:19" x14ac:dyDescent="0.25">
      <c r="A32" s="8" t="s">
        <v>35</v>
      </c>
      <c r="B32" s="9">
        <v>-3</v>
      </c>
      <c r="C32" s="7" t="s">
        <v>12</v>
      </c>
      <c r="D32" s="9">
        <v>180</v>
      </c>
      <c r="E32" s="9">
        <f t="shared" si="0"/>
        <v>-540</v>
      </c>
      <c r="H32" s="8" t="s">
        <v>35</v>
      </c>
      <c r="I32" s="9">
        <v>-3</v>
      </c>
      <c r="J32" s="7" t="s">
        <v>12</v>
      </c>
      <c r="K32" s="9">
        <v>180</v>
      </c>
      <c r="L32" s="9">
        <f t="shared" si="1"/>
        <v>-540</v>
      </c>
      <c r="O32" s="8" t="s">
        <v>35</v>
      </c>
      <c r="P32" s="9">
        <v>-3</v>
      </c>
      <c r="Q32" s="7" t="s">
        <v>12</v>
      </c>
      <c r="R32" s="9">
        <v>180</v>
      </c>
      <c r="S32" s="9">
        <f t="shared" si="2"/>
        <v>-540</v>
      </c>
    </row>
    <row r="33" spans="1:19" x14ac:dyDescent="0.25">
      <c r="A33" s="8" t="s">
        <v>36</v>
      </c>
      <c r="B33" s="9">
        <v>-1</v>
      </c>
      <c r="C33" s="7" t="s">
        <v>12</v>
      </c>
      <c r="D33" s="9">
        <v>772</v>
      </c>
      <c r="E33" s="9">
        <f t="shared" si="0"/>
        <v>-772</v>
      </c>
      <c r="H33" s="8" t="s">
        <v>36</v>
      </c>
      <c r="I33" s="9">
        <v>-1</v>
      </c>
      <c r="J33" s="7" t="s">
        <v>12</v>
      </c>
      <c r="K33" s="9">
        <v>864</v>
      </c>
      <c r="L33" s="9">
        <f t="shared" si="1"/>
        <v>-864</v>
      </c>
      <c r="O33" s="8" t="s">
        <v>36</v>
      </c>
      <c r="P33" s="9">
        <v>-1</v>
      </c>
      <c r="Q33" s="7" t="s">
        <v>12</v>
      </c>
      <c r="R33" s="9">
        <v>914</v>
      </c>
      <c r="S33" s="9">
        <f t="shared" si="2"/>
        <v>-914</v>
      </c>
    </row>
    <row r="34" spans="1:19" x14ac:dyDescent="0.25">
      <c r="A34" s="8" t="s">
        <v>37</v>
      </c>
      <c r="B34" s="9">
        <v>-1</v>
      </c>
      <c r="C34" s="7" t="s">
        <v>12</v>
      </c>
      <c r="D34" s="9">
        <v>363</v>
      </c>
      <c r="E34" s="9">
        <f t="shared" si="0"/>
        <v>-363</v>
      </c>
      <c r="H34" s="8" t="s">
        <v>37</v>
      </c>
      <c r="I34" s="9">
        <v>-1</v>
      </c>
      <c r="J34" s="7" t="s">
        <v>12</v>
      </c>
      <c r="K34" s="9">
        <v>407</v>
      </c>
      <c r="L34" s="9">
        <f t="shared" si="1"/>
        <v>-407</v>
      </c>
      <c r="O34" s="8" t="s">
        <v>37</v>
      </c>
      <c r="P34" s="9">
        <v>-1</v>
      </c>
      <c r="Q34" s="7" t="s">
        <v>12</v>
      </c>
      <c r="R34" s="9">
        <v>430</v>
      </c>
      <c r="S34" s="9">
        <f t="shared" si="2"/>
        <v>-430</v>
      </c>
    </row>
    <row r="35" spans="1:19" x14ac:dyDescent="0.25">
      <c r="A35" s="8" t="s">
        <v>38</v>
      </c>
      <c r="B35" s="9">
        <v>-4700</v>
      </c>
      <c r="C35" s="7" t="s">
        <v>12</v>
      </c>
      <c r="D35" s="11">
        <v>0.09</v>
      </c>
      <c r="E35" s="9">
        <f t="shared" si="0"/>
        <v>-423</v>
      </c>
      <c r="H35" s="8" t="s">
        <v>38</v>
      </c>
      <c r="I35" s="9">
        <v>-6000</v>
      </c>
      <c r="J35" s="7" t="s">
        <v>12</v>
      </c>
      <c r="K35" s="11">
        <v>0.09</v>
      </c>
      <c r="L35" s="9">
        <f t="shared" si="1"/>
        <v>-540</v>
      </c>
      <c r="O35" s="8" t="s">
        <v>38</v>
      </c>
      <c r="P35" s="9">
        <v>-6700</v>
      </c>
      <c r="Q35" s="7" t="s">
        <v>12</v>
      </c>
      <c r="R35" s="11">
        <v>0.09</v>
      </c>
      <c r="S35" s="9">
        <f t="shared" si="2"/>
        <v>-603</v>
      </c>
    </row>
    <row r="36" spans="1:19" x14ac:dyDescent="0.25">
      <c r="A36" s="8" t="s">
        <v>39</v>
      </c>
      <c r="B36" s="12">
        <v>-4.8</v>
      </c>
      <c r="C36" s="7" t="s">
        <v>12</v>
      </c>
      <c r="D36" s="9">
        <v>85</v>
      </c>
      <c r="E36" s="9">
        <f t="shared" si="0"/>
        <v>-408</v>
      </c>
      <c r="H36" s="8" t="s">
        <v>39</v>
      </c>
      <c r="I36" s="12">
        <v>-6.2</v>
      </c>
      <c r="J36" s="7" t="s">
        <v>12</v>
      </c>
      <c r="K36" s="9">
        <v>85</v>
      </c>
      <c r="L36" s="9">
        <f t="shared" si="1"/>
        <v>-527</v>
      </c>
      <c r="O36" s="8" t="s">
        <v>39</v>
      </c>
      <c r="P36" s="12">
        <v>-7</v>
      </c>
      <c r="Q36" s="7" t="s">
        <v>12</v>
      </c>
      <c r="R36" s="9">
        <v>85</v>
      </c>
      <c r="S36" s="9">
        <f t="shared" si="2"/>
        <v>-595</v>
      </c>
    </row>
    <row r="37" spans="1:19" x14ac:dyDescent="0.25">
      <c r="A37" s="8" t="s">
        <v>40</v>
      </c>
      <c r="B37" s="9">
        <v>-1</v>
      </c>
      <c r="C37" s="7" t="s">
        <v>12</v>
      </c>
      <c r="D37" s="9">
        <v>203</v>
      </c>
      <c r="E37" s="9">
        <f t="shared" si="0"/>
        <v>-203</v>
      </c>
      <c r="H37" s="8" t="s">
        <v>40</v>
      </c>
      <c r="I37" s="9">
        <v>-1</v>
      </c>
      <c r="J37" s="7" t="s">
        <v>12</v>
      </c>
      <c r="K37" s="9">
        <v>229</v>
      </c>
      <c r="L37" s="9">
        <f t="shared" si="1"/>
        <v>-229</v>
      </c>
      <c r="O37" s="8" t="s">
        <v>40</v>
      </c>
      <c r="P37" s="9">
        <v>-1</v>
      </c>
      <c r="Q37" s="7" t="s">
        <v>12</v>
      </c>
      <c r="R37" s="9">
        <v>244</v>
      </c>
      <c r="S37" s="9">
        <f t="shared" si="2"/>
        <v>-244</v>
      </c>
    </row>
    <row r="38" spans="1:19" x14ac:dyDescent="0.25">
      <c r="A38" s="8" t="s">
        <v>41</v>
      </c>
      <c r="B38" s="9"/>
      <c r="C38" s="7" t="s">
        <v>12</v>
      </c>
      <c r="D38" s="9"/>
      <c r="E38" s="9">
        <v>-500</v>
      </c>
      <c r="H38" s="8" t="s">
        <v>53</v>
      </c>
      <c r="I38" s="9">
        <v>-1</v>
      </c>
      <c r="J38" s="7" t="s">
        <v>12</v>
      </c>
      <c r="K38" s="9">
        <v>1225</v>
      </c>
      <c r="L38" s="38"/>
      <c r="O38" s="8" t="s">
        <v>41</v>
      </c>
      <c r="P38" s="9"/>
      <c r="Q38" s="7" t="s">
        <v>12</v>
      </c>
      <c r="R38" s="9"/>
      <c r="S38" s="9">
        <v>-500</v>
      </c>
    </row>
    <row r="39" spans="1:19" x14ac:dyDescent="0.25">
      <c r="A39" s="5" t="s">
        <v>42</v>
      </c>
      <c r="B39" s="6"/>
      <c r="C39" s="7" t="s">
        <v>12</v>
      </c>
      <c r="D39" s="6"/>
      <c r="E39" s="6">
        <f>SUM(E29:E38)</f>
        <v>-4384</v>
      </c>
      <c r="H39" s="8" t="s">
        <v>54</v>
      </c>
      <c r="I39" s="9">
        <v>-2</v>
      </c>
      <c r="J39" s="7" t="s">
        <v>12</v>
      </c>
      <c r="K39" s="9">
        <v>125</v>
      </c>
      <c r="L39" s="38"/>
      <c r="O39" s="5" t="s">
        <v>42</v>
      </c>
      <c r="P39" s="6"/>
      <c r="Q39" s="7" t="s">
        <v>12</v>
      </c>
      <c r="R39" s="6"/>
      <c r="S39" s="6">
        <f>SUM(S29:S38)</f>
        <v>-5101</v>
      </c>
    </row>
    <row r="40" spans="1:19" x14ac:dyDescent="0.25">
      <c r="A40" s="8" t="s">
        <v>43</v>
      </c>
      <c r="B40" s="9"/>
      <c r="C40" s="7" t="s">
        <v>12</v>
      </c>
      <c r="D40" s="9"/>
      <c r="E40" s="9">
        <f>SUM(E26,E39)</f>
        <v>478.5</v>
      </c>
      <c r="H40" s="8" t="s">
        <v>55</v>
      </c>
      <c r="I40" s="9">
        <v>-75</v>
      </c>
      <c r="J40" s="7" t="s">
        <v>12</v>
      </c>
      <c r="K40" s="9">
        <v>5</v>
      </c>
      <c r="L40" s="38"/>
      <c r="O40" s="8" t="s">
        <v>43</v>
      </c>
      <c r="P40" s="9"/>
      <c r="Q40" s="7" t="s">
        <v>12</v>
      </c>
      <c r="R40" s="9"/>
      <c r="S40" s="9">
        <f>SUM(S26,S39)</f>
        <v>2337</v>
      </c>
    </row>
    <row r="41" spans="1:19" x14ac:dyDescent="0.25">
      <c r="H41" s="8" t="s">
        <v>41</v>
      </c>
      <c r="I41" s="9"/>
      <c r="J41" s="7" t="s">
        <v>12</v>
      </c>
      <c r="K41" s="9"/>
      <c r="L41" s="9">
        <v>-500</v>
      </c>
    </row>
    <row r="42" spans="1:19" x14ac:dyDescent="0.25">
      <c r="H42" s="5" t="s">
        <v>42</v>
      </c>
      <c r="I42" s="6"/>
      <c r="J42" s="7" t="s">
        <v>12</v>
      </c>
      <c r="K42" s="6"/>
      <c r="L42" s="6">
        <f>SUM(L29:L41)</f>
        <v>-4782</v>
      </c>
    </row>
    <row r="43" spans="1:19" x14ac:dyDescent="0.25">
      <c r="H43" s="8" t="s">
        <v>43</v>
      </c>
      <c r="I43" s="9"/>
      <c r="J43" s="7" t="s">
        <v>12</v>
      </c>
      <c r="K43" s="9"/>
      <c r="L43" s="9">
        <f>SUM(L26,L42)</f>
        <v>758.49999999999909</v>
      </c>
    </row>
    <row r="44" spans="1:19" x14ac:dyDescent="0.25">
      <c r="A44" s="2" t="s">
        <v>44</v>
      </c>
      <c r="O44" s="2" t="s">
        <v>44</v>
      </c>
    </row>
    <row r="46" spans="1:19" x14ac:dyDescent="0.25">
      <c r="A46" s="2" t="s">
        <v>45</v>
      </c>
      <c r="O46" s="2" t="s">
        <v>45</v>
      </c>
    </row>
    <row r="47" spans="1:19" x14ac:dyDescent="0.25">
      <c r="A47" s="2" t="s">
        <v>46</v>
      </c>
      <c r="H47" s="2" t="s">
        <v>44</v>
      </c>
      <c r="O47" s="2" t="s">
        <v>46</v>
      </c>
    </row>
    <row r="49" spans="1:15" x14ac:dyDescent="0.25">
      <c r="A49" s="2" t="s">
        <v>47</v>
      </c>
      <c r="H49" s="2" t="s">
        <v>45</v>
      </c>
      <c r="O49" s="2" t="s">
        <v>47</v>
      </c>
    </row>
    <row r="50" spans="1:15" x14ac:dyDescent="0.25">
      <c r="A50" s="2" t="s">
        <v>48</v>
      </c>
      <c r="H50" s="2" t="s">
        <v>46</v>
      </c>
      <c r="O50" s="2" t="s">
        <v>48</v>
      </c>
    </row>
    <row r="52" spans="1:15" x14ac:dyDescent="0.25">
      <c r="H52" s="2" t="s">
        <v>47</v>
      </c>
    </row>
    <row r="53" spans="1:15" x14ac:dyDescent="0.25">
      <c r="H53" s="2" t="s">
        <v>48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3"/>
  <sheetViews>
    <sheetView topLeftCell="H1" workbookViewId="0">
      <selection activeCell="M30" sqref="M30"/>
    </sheetView>
  </sheetViews>
  <sheetFormatPr defaultColWidth="36.42578125" defaultRowHeight="15" x14ac:dyDescent="0.25"/>
  <cols>
    <col min="1" max="1" width="0" style="1" hidden="1" customWidth="1"/>
    <col min="2" max="5" width="9.7109375" style="1" hidden="1" customWidth="1"/>
    <col min="6" max="7" width="4.28515625" style="1" hidden="1" customWidth="1"/>
    <col min="8" max="8" width="36.42578125" style="1"/>
    <col min="9" max="12" width="10.140625" style="1" customWidth="1"/>
    <col min="13" max="14" width="5.140625" style="1" customWidth="1"/>
    <col min="15" max="15" width="36.42578125" style="1"/>
    <col min="16" max="19" width="9.42578125" style="1" customWidth="1"/>
    <col min="20" max="16384" width="36.42578125" style="1"/>
  </cols>
  <sheetData>
    <row r="1" spans="1:19" ht="18.75" x14ac:dyDescent="0.3">
      <c r="H1" s="37" t="s">
        <v>62</v>
      </c>
    </row>
    <row r="3" spans="1:19" x14ac:dyDescent="0.25">
      <c r="A3" s="1" t="s">
        <v>58</v>
      </c>
      <c r="H3" s="1" t="s">
        <v>58</v>
      </c>
      <c r="O3" s="1" t="s">
        <v>58</v>
      </c>
    </row>
    <row r="4" spans="1:19" x14ac:dyDescent="0.25">
      <c r="A4" s="2" t="s">
        <v>1</v>
      </c>
      <c r="B4" s="2" t="s">
        <v>58</v>
      </c>
      <c r="H4" s="2" t="s">
        <v>1</v>
      </c>
      <c r="I4" s="2" t="s">
        <v>58</v>
      </c>
      <c r="O4" s="2" t="s">
        <v>1</v>
      </c>
      <c r="P4" s="2" t="s">
        <v>58</v>
      </c>
    </row>
    <row r="5" spans="1:19" x14ac:dyDescent="0.25">
      <c r="A5" s="2" t="s">
        <v>2</v>
      </c>
      <c r="B5" s="2" t="s">
        <v>3</v>
      </c>
      <c r="H5" s="2" t="s">
        <v>2</v>
      </c>
      <c r="I5" s="2" t="s">
        <v>3</v>
      </c>
      <c r="O5" s="2" t="s">
        <v>2</v>
      </c>
      <c r="P5" s="2" t="s">
        <v>3</v>
      </c>
    </row>
    <row r="6" spans="1:19" x14ac:dyDescent="0.25">
      <c r="A6" s="2" t="s">
        <v>4</v>
      </c>
      <c r="B6" s="2" t="s">
        <v>5</v>
      </c>
      <c r="H6" s="2" t="s">
        <v>4</v>
      </c>
      <c r="I6" s="2" t="s">
        <v>5</v>
      </c>
      <c r="O6" s="2" t="s">
        <v>4</v>
      </c>
      <c r="P6" s="2" t="s">
        <v>5</v>
      </c>
    </row>
    <row r="7" spans="1:19" x14ac:dyDescent="0.25">
      <c r="A7" s="2" t="s">
        <v>6</v>
      </c>
      <c r="B7" s="2" t="s">
        <v>49</v>
      </c>
      <c r="H7" s="2" t="s">
        <v>6</v>
      </c>
      <c r="I7" s="2" t="s">
        <v>113</v>
      </c>
      <c r="O7" s="2" t="s">
        <v>6</v>
      </c>
      <c r="P7" s="2" t="s">
        <v>7</v>
      </c>
    </row>
    <row r="8" spans="1:19" x14ac:dyDescent="0.25">
      <c r="A8" s="2" t="s">
        <v>8</v>
      </c>
      <c r="B8" s="2" t="s">
        <v>9</v>
      </c>
      <c r="H8" s="2" t="s">
        <v>8</v>
      </c>
      <c r="I8" s="2" t="s">
        <v>9</v>
      </c>
      <c r="O8" s="2" t="s">
        <v>8</v>
      </c>
      <c r="P8" s="2" t="s">
        <v>9</v>
      </c>
    </row>
    <row r="10" spans="1:19" x14ac:dyDescent="0.25">
      <c r="A10" s="3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H10" s="3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O10" s="3" t="s">
        <v>10</v>
      </c>
      <c r="P10" s="4" t="s">
        <v>11</v>
      </c>
      <c r="Q10" s="4" t="s">
        <v>12</v>
      </c>
      <c r="R10" s="4" t="s">
        <v>13</v>
      </c>
      <c r="S10" s="4" t="s">
        <v>14</v>
      </c>
    </row>
    <row r="11" spans="1:19" x14ac:dyDescent="0.25">
      <c r="A11" s="5" t="s">
        <v>15</v>
      </c>
      <c r="B11" s="6"/>
      <c r="C11" s="7" t="s">
        <v>12</v>
      </c>
      <c r="D11" s="6"/>
      <c r="E11" s="6"/>
      <c r="H11" s="5" t="s">
        <v>15</v>
      </c>
      <c r="I11" s="6"/>
      <c r="J11" s="7" t="s">
        <v>12</v>
      </c>
      <c r="K11" s="6"/>
      <c r="L11" s="6"/>
      <c r="O11" s="5" t="s">
        <v>15</v>
      </c>
      <c r="P11" s="6"/>
      <c r="Q11" s="7" t="s">
        <v>12</v>
      </c>
      <c r="R11" s="6"/>
      <c r="S11" s="6"/>
    </row>
    <row r="12" spans="1:19" x14ac:dyDescent="0.25">
      <c r="A12" s="8" t="s">
        <v>16</v>
      </c>
      <c r="B12" s="9">
        <v>4600</v>
      </c>
      <c r="C12" s="7" t="s">
        <v>17</v>
      </c>
      <c r="D12" s="10">
        <f>1+0.125</f>
        <v>1.125</v>
      </c>
      <c r="E12" s="9">
        <f>B12*D12</f>
        <v>5175</v>
      </c>
      <c r="H12" s="8" t="s">
        <v>16</v>
      </c>
      <c r="I12" s="9">
        <v>5200</v>
      </c>
      <c r="J12" s="7" t="s">
        <v>17</v>
      </c>
      <c r="K12" s="10">
        <f>1+0.125</f>
        <v>1.125</v>
      </c>
      <c r="L12" s="9">
        <f>I12*K12</f>
        <v>5850</v>
      </c>
      <c r="O12" s="8" t="s">
        <v>16</v>
      </c>
      <c r="P12" s="9">
        <v>6000</v>
      </c>
      <c r="Q12" s="7" t="s">
        <v>17</v>
      </c>
      <c r="R12" s="10">
        <f>1+0.125</f>
        <v>1.125</v>
      </c>
      <c r="S12" s="9">
        <f>P12*R12</f>
        <v>6750</v>
      </c>
    </row>
    <row r="13" spans="1:19" x14ac:dyDescent="0.25">
      <c r="A13" s="8" t="s">
        <v>18</v>
      </c>
      <c r="B13" s="9">
        <v>2500</v>
      </c>
      <c r="C13" s="7" t="s">
        <v>17</v>
      </c>
      <c r="D13" s="10">
        <v>0.5</v>
      </c>
      <c r="E13" s="9">
        <f>B13*D13</f>
        <v>1250</v>
      </c>
      <c r="H13" s="8" t="s">
        <v>18</v>
      </c>
      <c r="I13" s="9">
        <v>3200</v>
      </c>
      <c r="J13" s="7" t="s">
        <v>17</v>
      </c>
      <c r="K13" s="10">
        <v>0.5</v>
      </c>
      <c r="L13" s="9">
        <f>I13*K13</f>
        <v>1600</v>
      </c>
      <c r="O13" s="8" t="s">
        <v>18</v>
      </c>
      <c r="P13" s="9">
        <v>3300</v>
      </c>
      <c r="Q13" s="7" t="s">
        <v>17</v>
      </c>
      <c r="R13" s="10">
        <v>0.5</v>
      </c>
      <c r="S13" s="9">
        <f>P13*R13</f>
        <v>1650</v>
      </c>
    </row>
    <row r="14" spans="1:19" x14ac:dyDescent="0.25">
      <c r="A14" s="5" t="s">
        <v>50</v>
      </c>
      <c r="B14" s="6"/>
      <c r="C14" s="7" t="s">
        <v>12</v>
      </c>
      <c r="D14" s="6"/>
      <c r="E14" s="6">
        <f>SUM(E12:E13)</f>
        <v>6425</v>
      </c>
      <c r="H14" s="5" t="s">
        <v>50</v>
      </c>
      <c r="I14" s="6"/>
      <c r="J14" s="7" t="s">
        <v>12</v>
      </c>
      <c r="K14" s="6"/>
      <c r="L14" s="6">
        <f>SUM(L12:L13)</f>
        <v>7450</v>
      </c>
      <c r="O14" s="5" t="s">
        <v>50</v>
      </c>
      <c r="P14" s="6"/>
      <c r="Q14" s="7" t="s">
        <v>12</v>
      </c>
      <c r="R14" s="6"/>
      <c r="S14" s="6">
        <f>SUM(S12:S13)</f>
        <v>8400</v>
      </c>
    </row>
    <row r="15" spans="1:19" x14ac:dyDescent="0.25">
      <c r="A15" s="8" t="s">
        <v>12</v>
      </c>
      <c r="B15" s="9"/>
      <c r="C15" s="7" t="s">
        <v>12</v>
      </c>
      <c r="D15" s="9"/>
      <c r="E15" s="9"/>
      <c r="H15" s="8" t="s">
        <v>12</v>
      </c>
      <c r="I15" s="9"/>
      <c r="J15" s="7" t="s">
        <v>12</v>
      </c>
      <c r="K15" s="9"/>
      <c r="L15" s="9"/>
      <c r="O15" s="8" t="s">
        <v>12</v>
      </c>
      <c r="P15" s="9"/>
      <c r="Q15" s="7" t="s">
        <v>12</v>
      </c>
      <c r="R15" s="9"/>
      <c r="S15" s="9"/>
    </row>
    <row r="16" spans="1:19" x14ac:dyDescent="0.25">
      <c r="A16" s="5" t="s">
        <v>20</v>
      </c>
      <c r="B16" s="6"/>
      <c r="C16" s="7" t="s">
        <v>12</v>
      </c>
      <c r="D16" s="6"/>
      <c r="E16" s="6"/>
      <c r="H16" s="5" t="s">
        <v>20</v>
      </c>
      <c r="I16" s="6"/>
      <c r="J16" s="7" t="s">
        <v>12</v>
      </c>
      <c r="K16" s="6"/>
      <c r="L16" s="6"/>
      <c r="O16" s="5" t="s">
        <v>20</v>
      </c>
      <c r="P16" s="6"/>
      <c r="Q16" s="7" t="s">
        <v>12</v>
      </c>
      <c r="R16" s="6"/>
      <c r="S16" s="6"/>
    </row>
    <row r="17" spans="1:19" x14ac:dyDescent="0.25">
      <c r="A17" s="8" t="s">
        <v>21</v>
      </c>
      <c r="B17" s="9">
        <v>-150</v>
      </c>
      <c r="C17" s="7" t="s">
        <v>17</v>
      </c>
      <c r="D17" s="10">
        <v>3.25</v>
      </c>
      <c r="E17" s="9">
        <f>B17*D17</f>
        <v>-487.5</v>
      </c>
      <c r="H17" s="8" t="s">
        <v>21</v>
      </c>
      <c r="I17" s="9">
        <v>-150</v>
      </c>
      <c r="J17" s="7" t="s">
        <v>17</v>
      </c>
      <c r="K17" s="10">
        <v>3.25</v>
      </c>
      <c r="L17" s="9">
        <f>I17*K17</f>
        <v>-487.5</v>
      </c>
      <c r="O17" s="8" t="s">
        <v>21</v>
      </c>
      <c r="P17" s="9">
        <v>-150</v>
      </c>
      <c r="Q17" s="7" t="s">
        <v>17</v>
      </c>
      <c r="R17" s="10">
        <v>3.25</v>
      </c>
      <c r="S17" s="9">
        <f>P17*R17</f>
        <v>-487.5</v>
      </c>
    </row>
    <row r="18" spans="1:19" x14ac:dyDescent="0.25">
      <c r="A18" s="8" t="s">
        <v>22</v>
      </c>
      <c r="B18" s="9">
        <v>-115</v>
      </c>
      <c r="C18" s="7" t="s">
        <v>17</v>
      </c>
      <c r="D18" s="10">
        <v>5.5</v>
      </c>
      <c r="E18" s="9">
        <f>B18*D18</f>
        <v>-632.5</v>
      </c>
      <c r="H18" s="8" t="s">
        <v>22</v>
      </c>
      <c r="I18" s="9">
        <v>-132</v>
      </c>
      <c r="J18" s="7" t="s">
        <v>17</v>
      </c>
      <c r="K18" s="10">
        <v>5.5</v>
      </c>
      <c r="L18" s="9">
        <f>I18*K18</f>
        <v>-726</v>
      </c>
      <c r="O18" s="8" t="s">
        <v>22</v>
      </c>
      <c r="P18" s="9">
        <v>-109</v>
      </c>
      <c r="Q18" s="7" t="s">
        <v>17</v>
      </c>
      <c r="R18" s="10">
        <v>5.5</v>
      </c>
      <c r="S18" s="9">
        <f>P18*R18</f>
        <v>-599.5</v>
      </c>
    </row>
    <row r="19" spans="1:19" x14ac:dyDescent="0.25">
      <c r="A19" s="8" t="s">
        <v>23</v>
      </c>
      <c r="B19" s="9">
        <v>-20</v>
      </c>
      <c r="C19" s="7" t="s">
        <v>17</v>
      </c>
      <c r="D19" s="10">
        <v>9</v>
      </c>
      <c r="E19" s="9">
        <f>B19*D19</f>
        <v>-180</v>
      </c>
      <c r="H19" s="8" t="s">
        <v>23</v>
      </c>
      <c r="I19" s="9">
        <v>-25</v>
      </c>
      <c r="J19" s="7" t="s">
        <v>17</v>
      </c>
      <c r="K19" s="10">
        <v>9</v>
      </c>
      <c r="L19" s="9">
        <f>I19*K19</f>
        <v>-225</v>
      </c>
      <c r="O19" s="8" t="s">
        <v>23</v>
      </c>
      <c r="P19" s="9">
        <v>-26</v>
      </c>
      <c r="Q19" s="7" t="s">
        <v>17</v>
      </c>
      <c r="R19" s="10">
        <v>9</v>
      </c>
      <c r="S19" s="9">
        <f>P19*R19</f>
        <v>-234</v>
      </c>
    </row>
    <row r="20" spans="1:19" x14ac:dyDescent="0.25">
      <c r="A20" s="8" t="s">
        <v>24</v>
      </c>
      <c r="B20" s="9">
        <v>-70</v>
      </c>
      <c r="C20" s="7" t="s">
        <v>17</v>
      </c>
      <c r="D20" s="10">
        <v>6</v>
      </c>
      <c r="E20" s="9">
        <f>B20*D20</f>
        <v>-420</v>
      </c>
      <c r="H20" s="8" t="s">
        <v>24</v>
      </c>
      <c r="I20" s="9">
        <v>-84</v>
      </c>
      <c r="J20" s="7" t="s">
        <v>17</v>
      </c>
      <c r="K20" s="10">
        <v>6</v>
      </c>
      <c r="L20" s="9">
        <f>I20*K20</f>
        <v>-504</v>
      </c>
      <c r="O20" s="8" t="s">
        <v>24</v>
      </c>
      <c r="P20" s="9">
        <v>-65</v>
      </c>
      <c r="Q20" s="7" t="s">
        <v>17</v>
      </c>
      <c r="R20" s="10">
        <v>6</v>
      </c>
      <c r="S20" s="9">
        <f>P20*R20</f>
        <v>-390</v>
      </c>
    </row>
    <row r="21" spans="1:19" x14ac:dyDescent="0.25">
      <c r="A21" s="8" t="s">
        <v>25</v>
      </c>
      <c r="B21" s="9"/>
      <c r="C21" s="7" t="s">
        <v>26</v>
      </c>
      <c r="D21" s="9"/>
      <c r="E21" s="9">
        <v>-120</v>
      </c>
      <c r="H21" s="8" t="s">
        <v>25</v>
      </c>
      <c r="I21" s="9"/>
      <c r="J21" s="7" t="s">
        <v>26</v>
      </c>
      <c r="K21" s="9"/>
      <c r="L21" s="9">
        <v>-120</v>
      </c>
      <c r="O21" s="8" t="s">
        <v>25</v>
      </c>
      <c r="P21" s="9"/>
      <c r="Q21" s="7" t="s">
        <v>26</v>
      </c>
      <c r="R21" s="9"/>
      <c r="S21" s="9">
        <v>-120</v>
      </c>
    </row>
    <row r="22" spans="1:19" x14ac:dyDescent="0.25">
      <c r="A22" s="8" t="s">
        <v>27</v>
      </c>
      <c r="B22" s="9"/>
      <c r="C22" s="7" t="s">
        <v>26</v>
      </c>
      <c r="D22" s="9"/>
      <c r="E22" s="9">
        <v>-100</v>
      </c>
      <c r="H22" s="8" t="s">
        <v>27</v>
      </c>
      <c r="I22" s="9"/>
      <c r="J22" s="7" t="s">
        <v>26</v>
      </c>
      <c r="K22" s="9"/>
      <c r="L22" s="9">
        <v>-100</v>
      </c>
      <c r="O22" s="8" t="s">
        <v>27</v>
      </c>
      <c r="P22" s="9"/>
      <c r="Q22" s="7" t="s">
        <v>26</v>
      </c>
      <c r="R22" s="9"/>
      <c r="S22" s="9">
        <v>-100</v>
      </c>
    </row>
    <row r="23" spans="1:19" x14ac:dyDescent="0.25">
      <c r="A23" s="8" t="s">
        <v>28</v>
      </c>
      <c r="B23" s="9"/>
      <c r="C23" s="7" t="s">
        <v>26</v>
      </c>
      <c r="D23" s="9"/>
      <c r="E23" s="9">
        <v>-30</v>
      </c>
      <c r="H23" s="8" t="s">
        <v>28</v>
      </c>
      <c r="I23" s="9"/>
      <c r="J23" s="7" t="s">
        <v>26</v>
      </c>
      <c r="K23" s="9"/>
      <c r="L23" s="9">
        <v>-30</v>
      </c>
      <c r="O23" s="8" t="s">
        <v>28</v>
      </c>
      <c r="P23" s="9"/>
      <c r="Q23" s="7" t="s">
        <v>26</v>
      </c>
      <c r="R23" s="9"/>
      <c r="S23" s="9">
        <v>-30</v>
      </c>
    </row>
    <row r="24" spans="1:19" x14ac:dyDescent="0.25">
      <c r="A24" s="8" t="s">
        <v>51</v>
      </c>
      <c r="B24" s="9"/>
      <c r="C24" s="7" t="s">
        <v>26</v>
      </c>
      <c r="D24" s="9"/>
      <c r="E24" s="9"/>
      <c r="H24" s="8" t="s">
        <v>51</v>
      </c>
      <c r="I24" s="9"/>
      <c r="J24" s="7" t="s">
        <v>26</v>
      </c>
      <c r="K24" s="9"/>
      <c r="L24" s="9"/>
      <c r="O24" s="8" t="s">
        <v>51</v>
      </c>
      <c r="P24" s="9"/>
      <c r="Q24" s="7" t="s">
        <v>26</v>
      </c>
      <c r="R24" s="9"/>
      <c r="S24" s="9"/>
    </row>
    <row r="25" spans="1:19" x14ac:dyDescent="0.25">
      <c r="A25" s="5" t="s">
        <v>29</v>
      </c>
      <c r="B25" s="6"/>
      <c r="C25" s="7" t="s">
        <v>12</v>
      </c>
      <c r="D25" s="6"/>
      <c r="E25" s="6">
        <f>SUM(E16:E24)</f>
        <v>-1970</v>
      </c>
      <c r="H25" s="5" t="s">
        <v>29</v>
      </c>
      <c r="I25" s="6"/>
      <c r="J25" s="7" t="s">
        <v>12</v>
      </c>
      <c r="K25" s="6"/>
      <c r="L25" s="6">
        <f>SUM(L16:L24)</f>
        <v>-2192.5</v>
      </c>
      <c r="O25" s="5" t="s">
        <v>29</v>
      </c>
      <c r="P25" s="6"/>
      <c r="Q25" s="7" t="s">
        <v>12</v>
      </c>
      <c r="R25" s="6"/>
      <c r="S25" s="6">
        <f>SUM(S16:S24)</f>
        <v>-1961</v>
      </c>
    </row>
    <row r="26" spans="1:19" x14ac:dyDescent="0.25">
      <c r="A26" s="5" t="s">
        <v>52</v>
      </c>
      <c r="B26" s="6"/>
      <c r="C26" s="7" t="s">
        <v>12</v>
      </c>
      <c r="D26" s="6"/>
      <c r="E26" s="6">
        <f>SUM(E14,E25)</f>
        <v>4455</v>
      </c>
      <c r="H26" s="5" t="s">
        <v>52</v>
      </c>
      <c r="I26" s="6"/>
      <c r="J26" s="7" t="s">
        <v>12</v>
      </c>
      <c r="K26" s="6"/>
      <c r="L26" s="6">
        <f>SUM(L14,L25)</f>
        <v>5257.5</v>
      </c>
      <c r="O26" s="5" t="s">
        <v>52</v>
      </c>
      <c r="P26" s="6"/>
      <c r="Q26" s="7" t="s">
        <v>12</v>
      </c>
      <c r="R26" s="6"/>
      <c r="S26" s="6">
        <f>SUM(S14,S25)</f>
        <v>6439</v>
      </c>
    </row>
    <row r="27" spans="1:19" x14ac:dyDescent="0.25">
      <c r="A27" s="8" t="s">
        <v>12</v>
      </c>
      <c r="B27" s="9"/>
      <c r="C27" s="7" t="s">
        <v>12</v>
      </c>
      <c r="D27" s="9"/>
      <c r="E27" s="9"/>
      <c r="H27" s="8" t="s">
        <v>12</v>
      </c>
      <c r="I27" s="9"/>
      <c r="J27" s="7" t="s">
        <v>12</v>
      </c>
      <c r="K27" s="9"/>
      <c r="L27" s="9"/>
      <c r="O27" s="8" t="s">
        <v>12</v>
      </c>
      <c r="P27" s="9"/>
      <c r="Q27" s="7" t="s">
        <v>12</v>
      </c>
      <c r="R27" s="9"/>
      <c r="S27" s="9"/>
    </row>
    <row r="28" spans="1:19" x14ac:dyDescent="0.25">
      <c r="A28" s="5" t="s">
        <v>31</v>
      </c>
      <c r="B28" s="6"/>
      <c r="C28" s="7" t="s">
        <v>12</v>
      </c>
      <c r="D28" s="6"/>
      <c r="E28" s="6"/>
      <c r="H28" s="5" t="s">
        <v>31</v>
      </c>
      <c r="I28" s="6"/>
      <c r="J28" s="7" t="s">
        <v>12</v>
      </c>
      <c r="K28" s="6"/>
      <c r="L28" s="6"/>
      <c r="O28" s="5" t="s">
        <v>31</v>
      </c>
      <c r="P28" s="6"/>
      <c r="Q28" s="7" t="s">
        <v>12</v>
      </c>
      <c r="R28" s="6"/>
      <c r="S28" s="6"/>
    </row>
    <row r="29" spans="1:19" x14ac:dyDescent="0.25">
      <c r="A29" s="8" t="s">
        <v>32</v>
      </c>
      <c r="B29" s="9">
        <v>-1</v>
      </c>
      <c r="C29" s="7" t="s">
        <v>12</v>
      </c>
      <c r="D29" s="9">
        <v>652.5</v>
      </c>
      <c r="E29" s="9">
        <f t="shared" ref="E29:E37" si="0">B29*D29</f>
        <v>-652.5</v>
      </c>
      <c r="H29" s="8" t="s">
        <v>32</v>
      </c>
      <c r="I29" s="9">
        <v>-1</v>
      </c>
      <c r="J29" s="7" t="s">
        <v>12</v>
      </c>
      <c r="K29" s="9">
        <v>652.5</v>
      </c>
      <c r="L29" s="9">
        <f t="shared" ref="L29:L37" si="1">I29*K29</f>
        <v>-652.5</v>
      </c>
      <c r="O29" s="8" t="s">
        <v>32</v>
      </c>
      <c r="P29" s="9">
        <v>-1</v>
      </c>
      <c r="Q29" s="7" t="s">
        <v>12</v>
      </c>
      <c r="R29" s="9">
        <v>725</v>
      </c>
      <c r="S29" s="9">
        <f t="shared" ref="S29:S37" si="2">P29*R29</f>
        <v>-725</v>
      </c>
    </row>
    <row r="30" spans="1:19" x14ac:dyDescent="0.25">
      <c r="A30" s="8" t="s">
        <v>33</v>
      </c>
      <c r="B30" s="9">
        <v>-1</v>
      </c>
      <c r="C30" s="7" t="s">
        <v>12</v>
      </c>
      <c r="D30" s="9">
        <v>142.5</v>
      </c>
      <c r="E30" s="9">
        <f t="shared" si="0"/>
        <v>-142.5</v>
      </c>
      <c r="H30" s="8" t="s">
        <v>33</v>
      </c>
      <c r="I30" s="9">
        <v>-1</v>
      </c>
      <c r="J30" s="7" t="s">
        <v>12</v>
      </c>
      <c r="K30" s="9">
        <v>142.5</v>
      </c>
      <c r="L30" s="9">
        <f t="shared" si="1"/>
        <v>-142.5</v>
      </c>
      <c r="O30" s="8" t="s">
        <v>33</v>
      </c>
      <c r="P30" s="9">
        <v>-1</v>
      </c>
      <c r="Q30" s="7" t="s">
        <v>12</v>
      </c>
      <c r="R30" s="9">
        <v>150</v>
      </c>
      <c r="S30" s="9">
        <f t="shared" si="2"/>
        <v>-150</v>
      </c>
    </row>
    <row r="31" spans="1:19" x14ac:dyDescent="0.25">
      <c r="A31" s="8" t="s">
        <v>34</v>
      </c>
      <c r="B31" s="9">
        <v>-1</v>
      </c>
      <c r="C31" s="7" t="s">
        <v>12</v>
      </c>
      <c r="D31" s="9">
        <v>380</v>
      </c>
      <c r="E31" s="9">
        <f t="shared" si="0"/>
        <v>-380</v>
      </c>
      <c r="H31" s="8" t="s">
        <v>34</v>
      </c>
      <c r="I31" s="9">
        <v>-1</v>
      </c>
      <c r="J31" s="7" t="s">
        <v>12</v>
      </c>
      <c r="K31" s="9">
        <v>380</v>
      </c>
      <c r="L31" s="9">
        <f t="shared" si="1"/>
        <v>-380</v>
      </c>
      <c r="O31" s="8" t="s">
        <v>34</v>
      </c>
      <c r="P31" s="9">
        <v>-1</v>
      </c>
      <c r="Q31" s="7" t="s">
        <v>12</v>
      </c>
      <c r="R31" s="9">
        <v>400</v>
      </c>
      <c r="S31" s="9">
        <f t="shared" si="2"/>
        <v>-400</v>
      </c>
    </row>
    <row r="32" spans="1:19" x14ac:dyDescent="0.25">
      <c r="A32" s="8" t="s">
        <v>35</v>
      </c>
      <c r="B32" s="9">
        <v>-2</v>
      </c>
      <c r="C32" s="7" t="s">
        <v>12</v>
      </c>
      <c r="D32" s="9">
        <v>180</v>
      </c>
      <c r="E32" s="9">
        <f t="shared" si="0"/>
        <v>-360</v>
      </c>
      <c r="H32" s="8" t="s">
        <v>35</v>
      </c>
      <c r="I32" s="9">
        <v>-2</v>
      </c>
      <c r="J32" s="7" t="s">
        <v>12</v>
      </c>
      <c r="K32" s="9">
        <v>180</v>
      </c>
      <c r="L32" s="9">
        <f t="shared" si="1"/>
        <v>-360</v>
      </c>
      <c r="O32" s="8" t="s">
        <v>35</v>
      </c>
      <c r="P32" s="9">
        <v>-2</v>
      </c>
      <c r="Q32" s="7" t="s">
        <v>12</v>
      </c>
      <c r="R32" s="9">
        <v>180</v>
      </c>
      <c r="S32" s="9">
        <f t="shared" si="2"/>
        <v>-360</v>
      </c>
    </row>
    <row r="33" spans="1:19" x14ac:dyDescent="0.25">
      <c r="A33" s="8" t="s">
        <v>36</v>
      </c>
      <c r="B33" s="9">
        <v>-1</v>
      </c>
      <c r="C33" s="7" t="s">
        <v>12</v>
      </c>
      <c r="D33" s="9">
        <v>758</v>
      </c>
      <c r="E33" s="9">
        <f t="shared" si="0"/>
        <v>-758</v>
      </c>
      <c r="H33" s="8" t="s">
        <v>36</v>
      </c>
      <c r="I33" s="9">
        <v>-1</v>
      </c>
      <c r="J33" s="7" t="s">
        <v>12</v>
      </c>
      <c r="K33" s="9">
        <v>850</v>
      </c>
      <c r="L33" s="9">
        <f t="shared" si="1"/>
        <v>-850</v>
      </c>
      <c r="O33" s="8" t="s">
        <v>36</v>
      </c>
      <c r="P33" s="9">
        <v>-1</v>
      </c>
      <c r="Q33" s="7" t="s">
        <v>12</v>
      </c>
      <c r="R33" s="9">
        <v>857</v>
      </c>
      <c r="S33" s="9">
        <f t="shared" si="2"/>
        <v>-857</v>
      </c>
    </row>
    <row r="34" spans="1:19" x14ac:dyDescent="0.25">
      <c r="A34" s="8" t="s">
        <v>37</v>
      </c>
      <c r="B34" s="9">
        <v>-1</v>
      </c>
      <c r="C34" s="7" t="s">
        <v>12</v>
      </c>
      <c r="D34" s="9">
        <v>357</v>
      </c>
      <c r="E34" s="9">
        <f t="shared" si="0"/>
        <v>-357</v>
      </c>
      <c r="H34" s="8" t="s">
        <v>37</v>
      </c>
      <c r="I34" s="9">
        <v>-1</v>
      </c>
      <c r="J34" s="7" t="s">
        <v>12</v>
      </c>
      <c r="K34" s="9">
        <v>400</v>
      </c>
      <c r="L34" s="9">
        <f t="shared" si="1"/>
        <v>-400</v>
      </c>
      <c r="O34" s="8" t="s">
        <v>37</v>
      </c>
      <c r="P34" s="9">
        <v>-1</v>
      </c>
      <c r="Q34" s="7" t="s">
        <v>12</v>
      </c>
      <c r="R34" s="9">
        <v>403</v>
      </c>
      <c r="S34" s="9">
        <f t="shared" si="2"/>
        <v>-403</v>
      </c>
    </row>
    <row r="35" spans="1:19" x14ac:dyDescent="0.25">
      <c r="A35" s="8" t="s">
        <v>38</v>
      </c>
      <c r="B35" s="9">
        <v>-4600</v>
      </c>
      <c r="C35" s="7" t="s">
        <v>12</v>
      </c>
      <c r="D35" s="11">
        <v>0.09</v>
      </c>
      <c r="E35" s="9">
        <f t="shared" si="0"/>
        <v>-414</v>
      </c>
      <c r="H35" s="8" t="s">
        <v>38</v>
      </c>
      <c r="I35" s="9">
        <v>-5900</v>
      </c>
      <c r="J35" s="7" t="s">
        <v>12</v>
      </c>
      <c r="K35" s="11">
        <v>0.09</v>
      </c>
      <c r="L35" s="9">
        <f t="shared" si="1"/>
        <v>-531</v>
      </c>
      <c r="O35" s="8" t="s">
        <v>38</v>
      </c>
      <c r="P35" s="9">
        <v>-6000</v>
      </c>
      <c r="Q35" s="7" t="s">
        <v>12</v>
      </c>
      <c r="R35" s="11">
        <v>0.09</v>
      </c>
      <c r="S35" s="9">
        <f t="shared" si="2"/>
        <v>-540</v>
      </c>
    </row>
    <row r="36" spans="1:19" x14ac:dyDescent="0.25">
      <c r="A36" s="8" t="s">
        <v>39</v>
      </c>
      <c r="B36" s="12">
        <v>-5</v>
      </c>
      <c r="C36" s="7" t="s">
        <v>12</v>
      </c>
      <c r="D36" s="9">
        <v>85</v>
      </c>
      <c r="E36" s="9">
        <f t="shared" si="0"/>
        <v>-425</v>
      </c>
      <c r="H36" s="8" t="s">
        <v>39</v>
      </c>
      <c r="I36" s="12">
        <v>-6.4</v>
      </c>
      <c r="J36" s="7" t="s">
        <v>12</v>
      </c>
      <c r="K36" s="9">
        <v>85</v>
      </c>
      <c r="L36" s="9">
        <f t="shared" si="1"/>
        <v>-544</v>
      </c>
      <c r="O36" s="8" t="s">
        <v>39</v>
      </c>
      <c r="P36" s="12">
        <v>-6.6</v>
      </c>
      <c r="Q36" s="7" t="s">
        <v>12</v>
      </c>
      <c r="R36" s="9">
        <v>85</v>
      </c>
      <c r="S36" s="9">
        <f t="shared" si="2"/>
        <v>-561</v>
      </c>
    </row>
    <row r="37" spans="1:19" x14ac:dyDescent="0.25">
      <c r="A37" s="8" t="s">
        <v>40</v>
      </c>
      <c r="B37" s="9">
        <v>-1</v>
      </c>
      <c r="C37" s="7" t="s">
        <v>12</v>
      </c>
      <c r="D37" s="9">
        <v>206</v>
      </c>
      <c r="E37" s="9">
        <f t="shared" si="0"/>
        <v>-206</v>
      </c>
      <c r="H37" s="8" t="s">
        <v>40</v>
      </c>
      <c r="I37" s="9">
        <v>-1</v>
      </c>
      <c r="J37" s="7" t="s">
        <v>12</v>
      </c>
      <c r="K37" s="9">
        <v>233</v>
      </c>
      <c r="L37" s="9">
        <f t="shared" si="1"/>
        <v>-233</v>
      </c>
      <c r="O37" s="8" t="s">
        <v>40</v>
      </c>
      <c r="P37" s="9">
        <v>-1</v>
      </c>
      <c r="Q37" s="7" t="s">
        <v>12</v>
      </c>
      <c r="R37" s="9">
        <v>236</v>
      </c>
      <c r="S37" s="9">
        <f t="shared" si="2"/>
        <v>-236</v>
      </c>
    </row>
    <row r="38" spans="1:19" x14ac:dyDescent="0.25">
      <c r="A38" s="8" t="s">
        <v>41</v>
      </c>
      <c r="B38" s="9"/>
      <c r="C38" s="7" t="s">
        <v>12</v>
      </c>
      <c r="D38" s="9"/>
      <c r="E38" s="9">
        <v>-500</v>
      </c>
      <c r="H38" s="8" t="s">
        <v>53</v>
      </c>
      <c r="I38" s="9">
        <v>-1</v>
      </c>
      <c r="J38" s="7" t="s">
        <v>12</v>
      </c>
      <c r="K38" s="9">
        <v>1225</v>
      </c>
      <c r="L38" s="38"/>
      <c r="O38" s="8" t="s">
        <v>41</v>
      </c>
      <c r="P38" s="9"/>
      <c r="Q38" s="7" t="s">
        <v>12</v>
      </c>
      <c r="R38" s="9"/>
      <c r="S38" s="9">
        <v>-500</v>
      </c>
    </row>
    <row r="39" spans="1:19" x14ac:dyDescent="0.25">
      <c r="A39" s="5" t="s">
        <v>42</v>
      </c>
      <c r="B39" s="6"/>
      <c r="C39" s="7" t="s">
        <v>12</v>
      </c>
      <c r="D39" s="6"/>
      <c r="E39" s="6">
        <f>SUM(E29:E38)</f>
        <v>-4195</v>
      </c>
      <c r="H39" s="8" t="s">
        <v>54</v>
      </c>
      <c r="I39" s="9">
        <v>-2</v>
      </c>
      <c r="J39" s="7" t="s">
        <v>12</v>
      </c>
      <c r="K39" s="9">
        <v>125</v>
      </c>
      <c r="L39" s="38"/>
      <c r="O39" s="5" t="s">
        <v>42</v>
      </c>
      <c r="P39" s="6"/>
      <c r="Q39" s="7" t="s">
        <v>12</v>
      </c>
      <c r="R39" s="6"/>
      <c r="S39" s="6">
        <f>SUM(S29:S38)</f>
        <v>-4732</v>
      </c>
    </row>
    <row r="40" spans="1:19" x14ac:dyDescent="0.25">
      <c r="A40" s="8" t="s">
        <v>43</v>
      </c>
      <c r="B40" s="9"/>
      <c r="C40" s="7" t="s">
        <v>12</v>
      </c>
      <c r="D40" s="9"/>
      <c r="E40" s="9">
        <f>SUM(E26,E39)</f>
        <v>260</v>
      </c>
      <c r="H40" s="8" t="s">
        <v>55</v>
      </c>
      <c r="I40" s="9">
        <v>-75</v>
      </c>
      <c r="J40" s="7" t="s">
        <v>12</v>
      </c>
      <c r="K40" s="9">
        <v>5</v>
      </c>
      <c r="L40" s="38"/>
      <c r="O40" s="8" t="s">
        <v>43</v>
      </c>
      <c r="P40" s="9"/>
      <c r="Q40" s="7" t="s">
        <v>12</v>
      </c>
      <c r="R40" s="9"/>
      <c r="S40" s="9">
        <f>SUM(S26,S39)</f>
        <v>1707</v>
      </c>
    </row>
    <row r="41" spans="1:19" x14ac:dyDescent="0.25">
      <c r="H41" s="8" t="s">
        <v>41</v>
      </c>
      <c r="I41" s="9"/>
      <c r="J41" s="7" t="s">
        <v>12</v>
      </c>
      <c r="K41" s="9"/>
      <c r="L41" s="9">
        <v>-500</v>
      </c>
    </row>
    <row r="42" spans="1:19" x14ac:dyDescent="0.25">
      <c r="H42" s="5" t="s">
        <v>42</v>
      </c>
      <c r="I42" s="6"/>
      <c r="J42" s="7" t="s">
        <v>12</v>
      </c>
      <c r="K42" s="6"/>
      <c r="L42" s="6">
        <f>SUM(L29:L41)</f>
        <v>-4593</v>
      </c>
    </row>
    <row r="43" spans="1:19" x14ac:dyDescent="0.25">
      <c r="H43" s="8" t="s">
        <v>43</v>
      </c>
      <c r="I43" s="9"/>
      <c r="J43" s="7" t="s">
        <v>12</v>
      </c>
      <c r="K43" s="9"/>
      <c r="L43" s="9">
        <f>SUM(L26,L42)</f>
        <v>664.5</v>
      </c>
    </row>
    <row r="44" spans="1:19" x14ac:dyDescent="0.25">
      <c r="A44" s="2" t="s">
        <v>44</v>
      </c>
      <c r="O44" s="2" t="s">
        <v>44</v>
      </c>
    </row>
    <row r="46" spans="1:19" x14ac:dyDescent="0.25">
      <c r="A46" s="2" t="s">
        <v>45</v>
      </c>
      <c r="O46" s="2" t="s">
        <v>45</v>
      </c>
    </row>
    <row r="47" spans="1:19" x14ac:dyDescent="0.25">
      <c r="A47" s="2" t="s">
        <v>46</v>
      </c>
      <c r="H47" s="2" t="s">
        <v>44</v>
      </c>
      <c r="O47" s="2" t="s">
        <v>46</v>
      </c>
    </row>
    <row r="49" spans="1:15" x14ac:dyDescent="0.25">
      <c r="A49" s="2" t="s">
        <v>47</v>
      </c>
      <c r="H49" s="2" t="s">
        <v>45</v>
      </c>
      <c r="O49" s="2" t="s">
        <v>47</v>
      </c>
    </row>
    <row r="50" spans="1:15" x14ac:dyDescent="0.25">
      <c r="A50" s="2" t="s">
        <v>48</v>
      </c>
      <c r="H50" s="2" t="s">
        <v>46</v>
      </c>
      <c r="O50" s="2" t="s">
        <v>48</v>
      </c>
    </row>
    <row r="52" spans="1:15" x14ac:dyDescent="0.25">
      <c r="H52" s="2" t="s">
        <v>47</v>
      </c>
    </row>
    <row r="53" spans="1:15" x14ac:dyDescent="0.25">
      <c r="H53" s="2" t="s">
        <v>48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Artikelside" ma:contentTypeID="0x010100C568DB52D9D0A14D9B2FDCC96666E9F2007948130EC3DB064584E219954237AF3900242457EFB8B24247815D688C526CD44D00C26A9DBCB02B5C4DA1F017B836C045C00060750ADE2E6249BABB5C6118FC133DE800B6E1A9893ABA4670B08C14B9C53A30D300076C34C50FA916488179B4B73A325077" ma:contentTypeVersion="101" ma:contentTypeDescription="Den primære contenttype der anvendes på Landbrugsinfo" ma:contentTypeScope="" ma:versionID="a2d425889b73dbd31e108222e8908ab5">
  <xsd:schema xmlns:xsd="http://www.w3.org/2001/XMLSchema" xmlns:xs="http://www.w3.org/2001/XMLSchema" xmlns:p="http://schemas.microsoft.com/office/2006/metadata/properties" xmlns:ns1="http://schemas.microsoft.com/sharepoint/v3" xmlns:ns2="3f8883b8-a613-49b8-9e7a-815b7776ebd6" xmlns:ns3="5aa14257-579e-4a1f-bbbb-3c8dd7393476" xmlns:ns4="303eeafb-7dff-46db-9396-e9c651f530ea" targetNamespace="http://schemas.microsoft.com/office/2006/metadata/properties" ma:root="true" ma:fieldsID="982af4ad0dcc1e8be629a4790d1db881" ns1:_="" ns2:_="" ns3:_="" ns4:_="">
    <xsd:import namespace="http://schemas.microsoft.com/sharepoint/v3"/>
    <xsd:import namespace="3f8883b8-a613-49b8-9e7a-815b7776ebd6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883b8-a613-49b8-9e7a-815b7776ebd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TaksonomiTaxHTField0 xmlns="3f8883b8-a613-49b8-9e7a-815b7776ebd6">
      <Terms xmlns="http://schemas.microsoft.com/office/infopath/2007/PartnerControls"/>
    </TaksonomiTaxHTField0>
    <FinanceYear xmlns="3f8883b8-a613-49b8-9e7a-815b7776ebd6" xsi:nil="true"/>
    <Ansvarligafdeling xmlns="3f8883b8-a613-49b8-9e7a-815b7776ebd6">55</Ansvarligafdeling>
    <NetSkabelonValue xmlns="3f8883b8-a613-49b8-9e7a-815b7776ebd6" xsi:nil="true"/>
    <HitCount xmlns="3f8883b8-a613-49b8-9e7a-815b7776ebd6">0</HitCount>
    <WebInfoMultiSelect xmlns="3f8883b8-a613-49b8-9e7a-815b7776ebd6" xsi:nil="true"/>
    <GammelURL xmlns="3f8883b8-a613-49b8-9e7a-815b7776ebd6" xsi:nil="true"/>
    <PublishingRollupImage xmlns="http://schemas.microsoft.com/sharepoint/v3" xsi:nil="true"/>
    <Revisionsdato xmlns="5aa14257-579e-4a1f-bbbb-3c8dd7393476">2020-12-23T14:23:00+00:00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Rettighedsgruppe xmlns="3f8883b8-a613-49b8-9e7a-815b7776ebd6">1</Rettighedsgruppe>
    <Afsender xmlns="3f8883b8-a613-49b8-9e7a-815b7776ebd6">2</Afsender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IsHiddenFromRollup xmlns="3f8883b8-a613-49b8-9e7a-815b7776ebd6">0</IsHiddenFromRollup>
    <DynamicPublishingContent7 xmlns="http://schemas.microsoft.com/sharepoint/v3" xsi:nil="true"/>
    <DynamicPublishingContent6 xmlns="http://schemas.microsoft.com/sharepoint/v3" xsi:nil="true"/>
    <Bekraeftelsesdato xmlns="5aa14257-579e-4a1f-bbbb-3c8dd7393476">2020-12-23T14:23:00+00:00</Bekraeftelsesdato>
    <DynamicPublishingContent1 xmlns="http://schemas.microsoft.com/sharepoint/v3" xsi:nil="true"/>
    <Projekter xmlns="3f8883b8-a613-49b8-9e7a-815b7776ebd6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2020-12-23T14:24:05+00:00</ArticleStartDate>
    <Listekode xmlns="5aa14257-579e-4a1f-bbbb-3c8dd7393476" xsi:nil="true"/>
    <Arkiveringsdato xmlns="3f8883b8-a613-49b8-9e7a-815b7776ebd6">2099-12-31T23:00:00+00:00</Arkiveringsdato>
    <HideInRollups xmlns="3f8883b8-a613-49b8-9e7a-815b7776ebd6">false</HideInRollups>
    <DynamicPublishingContent0 xmlns="http://schemas.microsoft.com/sharepoint/v3" xsi:nil="true"/>
    <PermalinkID xmlns="3f8883b8-a613-49b8-9e7a-815b7776ebd6">eb2bf9f5-81fb-43c3-88b0-c8cf5c0eb05a</PermalinkID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idp|001ovl@prod.dli</DisplayName>
        <AccountId>31418</AccountId>
        <AccountType/>
      </UserInfo>
      <UserInfo>
        <DisplayName>i:0e.t|dlbr idp|001cars@prod.dli</DisplayName>
        <AccountId>57126</AccountId>
        <AccountType/>
      </UserInfo>
    </Forfattere>
    <DynamicPublishingContent3 xmlns="http://schemas.microsoft.com/sharepoint/v3" xsi:nil="true"/>
    <Sorteringsorden xmlns="5aa14257-579e-4a1f-bbbb-3c8dd7393476" xsi:nil="true"/>
    <EnclosureFor xmlns="3f8883b8-a613-49b8-9e7a-815b7776ebd6">
      <Url xsi:nil="true"/>
      <Description xsi:nil="true"/>
    </EnclosureFor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3f8883b8-a613-49b8-9e7a-815b7776ebd6">false</Ingen_x0020_besked_x0020_ved_x0020_arkivering>
    <Bevillingsgivere xmlns="3f8883b8-a613-49b8-9e7a-815b7776ebd6" xsi:nil="true"/>
    <WebInfoLawCodes xmlns="3f8883b8-a613-49b8-9e7a-815b7776ebd6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rojectID xmlns="3f8883b8-a613-49b8-9e7a-815b7776ebd6">X1194X</ProjectID>
    <PublishingStartDate xmlns="http://schemas.microsoft.com/sharepoint/v3" xsi:nil="true"/>
    <WebInfoSubjects xmlns="3f8883b8-a613-49b8-9e7a-815b7776ebd6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Afrapportering xmlns="3f8883b8-a613-49b8-9e7a-815b7776ebd6">1194;#Nul pesticidrester i konventionelle planteprodukter til konsum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Beregningerne om de økonomiske konsekvenser ved at ændre dyrkningspraksis til pesticidrestfri dyrkning samt beregnet på den merpris, der kræves for at opnå samme økonomiske resultat som ved uændret dyrkningspraksis.
</Comments>
    <Nummer xmlns="5aa14257-579e-4a1f-bbbb-3c8dd7393476" xsi:nil="true"/>
    <_dlc_DocId xmlns="303eeafb-7dff-46db-9396-e9c651f530ea">LBINFO-1714791964-26605</_dlc_DocId>
    <_dlc_DocIdUrl xmlns="303eeafb-7dff-46db-9396-e9c651f530ea">
      <Url>https://sp.landbrugsinfo.dk/Afrapportering/innovation/2020/_layouts/DocIdRedir.aspx?ID=LBINFO-1714791964-26605</Url>
      <Description>LBINFO-1714791964-26605</Description>
    </_dlc_DocIdUrl>
  </documentManagement>
</p:properties>
</file>

<file path=customXml/itemProps1.xml><?xml version="1.0" encoding="utf-8"?>
<ds:datastoreItem xmlns:ds="http://schemas.openxmlformats.org/officeDocument/2006/customXml" ds:itemID="{CBA5881F-5159-468B-8947-B60F78016F4B}"/>
</file>

<file path=customXml/itemProps2.xml><?xml version="1.0" encoding="utf-8"?>
<ds:datastoreItem xmlns:ds="http://schemas.openxmlformats.org/officeDocument/2006/customXml" ds:itemID="{D6F94E6D-957F-4601-8D94-C433ECB4E361}"/>
</file>

<file path=customXml/itemProps3.xml><?xml version="1.0" encoding="utf-8"?>
<ds:datastoreItem xmlns:ds="http://schemas.openxmlformats.org/officeDocument/2006/customXml" ds:itemID="{E0D632CB-74F3-45F2-9C3F-89628B7A3736}"/>
</file>

<file path=customXml/itemProps4.xml><?xml version="1.0" encoding="utf-8"?>
<ds:datastoreItem xmlns:ds="http://schemas.openxmlformats.org/officeDocument/2006/customXml" ds:itemID="{7528070D-FF08-4BB8-BA7E-5F188B0AB3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Simulering</vt:lpstr>
      <vt:lpstr>Kalkuler budgetkalkule</vt:lpstr>
      <vt:lpstr>Kalkule brødhvede</vt:lpstr>
      <vt:lpstr>Kalkule brødrug</vt:lpstr>
      <vt:lpstr>Kalkule maltbyg</vt:lpstr>
      <vt:lpstr>Kalkule grynhavre</vt:lpstr>
      <vt:lpstr>Simulering!Udskriftsområde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 økonomiske beregninger ved pesticidrestfri dyrkning</dc:title>
  <dc:creator>Ove Lund</dc:creator>
  <cp:lastModifiedBy>Pia Bay</cp:lastModifiedBy>
  <cp:lastPrinted>2020-12-01T14:31:18Z</cp:lastPrinted>
  <dcterms:created xsi:type="dcterms:W3CDTF">2020-11-18T12:38:40Z</dcterms:created>
  <dcterms:modified xsi:type="dcterms:W3CDTF">2020-12-23T14:22:36Z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0x010100C568DB52D9D0A14D9B2FDCC96666E9F2007948130EC3DB064584E219954237AF3900242457EFB8B24247815D688C526CD44D00C26A9DBCB02B5C4DA1F017B836C045C00060750ADE2E6249BABB5C6118FC133DE800B6E1A9893ABA4670B08C14B9C53A30D300076C34C50FA916488179B4B73A325077</vt:lpwstr>
  </property>
  <property fmtid="{D5CDD505-2E9C-101B-9397-08002B2CF9AE}" pid="3" name="_dlc_DocIdItemGuid">
    <vt:lpwstr>685ebec3-b55e-42b6-a4ea-b3a651ae93bb</vt:lpwstr>
  </property>
  <property fmtid="{D5CDD505-2E9C-101B-9397-08002B2CF9AE}" pid="4" name="Taksonomi">
    <vt:lpwstr/>
  </property>
</Properties>
</file>